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3820" windowHeight="14700"/>
  </bookViews>
  <sheets>
    <sheet name="Calculation" sheetId="1" r:id="rId1"/>
    <sheet name="Graphs" sheetId="2" r:id="rId2"/>
    <sheet name="Sheet3" sheetId="3" r:id="rId3"/>
  </sheets>
  <definedNames>
    <definedName name="_xlnm.Print_Area" localSheetId="0">Calculation!$B$5:$U$40</definedName>
    <definedName name="_xlnm.Print_Area" localSheetId="1">Graphs!$B$4:$R$40</definedName>
    <definedName name="_xlnm.Print_Titles" localSheetId="0">Calculation!$A:$A,Calculation!$1:$4</definedName>
  </definedNames>
  <calcPr calcId="125725"/>
</workbook>
</file>

<file path=xl/calcChain.xml><?xml version="1.0" encoding="utf-8"?>
<calcChain xmlns="http://schemas.openxmlformats.org/spreadsheetml/2006/main">
  <c r="V32" i="1"/>
  <c r="V31"/>
  <c r="V30"/>
  <c r="V29"/>
  <c r="V28"/>
  <c r="V27"/>
  <c r="V26"/>
  <c r="V25"/>
  <c r="V24"/>
  <c r="V23"/>
  <c r="V22"/>
  <c r="V21"/>
  <c r="V20"/>
  <c r="V19"/>
  <c r="V18"/>
  <c r="V17"/>
  <c r="V16"/>
  <c r="V15"/>
  <c r="V14"/>
  <c r="V13"/>
  <c r="V12"/>
  <c r="Q11"/>
  <c r="O9"/>
  <c r="O8"/>
  <c r="O7"/>
  <c r="Q15"/>
  <c r="Q10"/>
  <c r="U32"/>
  <c r="U31"/>
  <c r="U30"/>
  <c r="U29"/>
  <c r="U28"/>
  <c r="U27"/>
  <c r="U26"/>
  <c r="U25"/>
  <c r="U24"/>
  <c r="U23"/>
  <c r="U22"/>
  <c r="U21"/>
  <c r="U20"/>
  <c r="U19"/>
  <c r="U18"/>
  <c r="U17"/>
  <c r="U16"/>
  <c r="U14"/>
  <c r="U13"/>
  <c r="U12"/>
  <c r="T32"/>
  <c r="T31"/>
  <c r="T30"/>
  <c r="T29"/>
  <c r="T28"/>
  <c r="T27"/>
  <c r="T26"/>
  <c r="T25"/>
  <c r="T24"/>
  <c r="T23"/>
  <c r="T22"/>
  <c r="T21"/>
  <c r="T20"/>
  <c r="T19"/>
  <c r="T18"/>
  <c r="T17"/>
  <c r="T16"/>
  <c r="T15"/>
  <c r="U15" s="1"/>
  <c r="T14"/>
  <c r="T13"/>
  <c r="T12"/>
  <c r="S32"/>
  <c r="S31"/>
  <c r="S30"/>
  <c r="S29"/>
  <c r="S28"/>
  <c r="S27"/>
  <c r="S26"/>
  <c r="S25"/>
  <c r="S24"/>
  <c r="S23"/>
  <c r="S22"/>
  <c r="S21"/>
  <c r="S20"/>
  <c r="S19"/>
  <c r="S18"/>
  <c r="S17"/>
  <c r="S16"/>
  <c r="S14"/>
  <c r="S13"/>
  <c r="S12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S15" s="1"/>
  <c r="R14"/>
  <c r="R13"/>
  <c r="R12"/>
  <c r="P32"/>
  <c r="P31"/>
  <c r="P30"/>
  <c r="P29"/>
  <c r="P28"/>
  <c r="P27"/>
  <c r="P26"/>
  <c r="P25"/>
  <c r="P24"/>
  <c r="P23"/>
  <c r="P22"/>
  <c r="P21"/>
  <c r="P20"/>
  <c r="P19"/>
  <c r="P18"/>
  <c r="P17"/>
  <c r="P16"/>
  <c r="P15"/>
  <c r="P14"/>
  <c r="P13"/>
  <c r="P12"/>
  <c r="P11"/>
  <c r="P10"/>
  <c r="P9"/>
  <c r="P8"/>
  <c r="P7"/>
  <c r="Q32"/>
  <c r="Q31"/>
  <c r="Q30"/>
  <c r="Q29"/>
  <c r="Q28"/>
  <c r="Q27"/>
  <c r="Q26"/>
  <c r="Q25"/>
  <c r="Q24"/>
  <c r="Q23"/>
  <c r="Q22"/>
  <c r="Q21"/>
  <c r="Q20"/>
  <c r="Q19"/>
  <c r="Q18"/>
  <c r="Q17"/>
  <c r="Q16"/>
  <c r="Q14"/>
  <c r="Q13"/>
  <c r="Q12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N32"/>
  <c r="N31"/>
  <c r="N30"/>
  <c r="N29"/>
  <c r="N28"/>
  <c r="N27"/>
  <c r="N26"/>
  <c r="N25"/>
  <c r="N24"/>
  <c r="N23"/>
  <c r="N22"/>
  <c r="N21"/>
  <c r="N20"/>
  <c r="N19"/>
  <c r="N18"/>
  <c r="N17"/>
  <c r="N16"/>
  <c r="N15"/>
  <c r="N14"/>
  <c r="N13"/>
  <c r="N12"/>
  <c r="N11"/>
  <c r="N10"/>
  <c r="N9"/>
  <c r="N8"/>
  <c r="N7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M7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C7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</calcChain>
</file>

<file path=xl/sharedStrings.xml><?xml version="1.0" encoding="utf-8"?>
<sst xmlns="http://schemas.openxmlformats.org/spreadsheetml/2006/main" count="36" uniqueCount="36">
  <si>
    <r>
      <rPr>
        <sz val="11"/>
        <color theme="1"/>
        <rFont val="Symbol"/>
        <family val="1"/>
        <charset val="2"/>
      </rPr>
      <t>Q</t>
    </r>
    <r>
      <rPr>
        <sz val="11"/>
        <color theme="1"/>
        <rFont val="Calibri"/>
        <family val="2"/>
        <scheme val="minor"/>
      </rPr>
      <t xml:space="preserve"> (d)</t>
    </r>
  </si>
  <si>
    <r>
      <t>Y</t>
    </r>
    <r>
      <rPr>
        <vertAlign val="subscript"/>
        <sz val="11"/>
        <color theme="1"/>
        <rFont val="Calibri"/>
        <family val="2"/>
        <scheme val="minor"/>
      </rPr>
      <t>Hobs</t>
    </r>
    <r>
      <rPr>
        <sz val="11"/>
        <color theme="1"/>
        <rFont val="Calibri"/>
        <family val="2"/>
        <scheme val="minor"/>
      </rPr>
      <t xml:space="preserve"> (gCODx/gCODs)</t>
    </r>
  </si>
  <si>
    <t>S (mgCOD/l)</t>
  </si>
  <si>
    <r>
      <t>X</t>
    </r>
    <r>
      <rPr>
        <vertAlign val="subscript"/>
        <sz val="11"/>
        <color theme="1"/>
        <rFont val="Calibri"/>
        <family val="2"/>
        <scheme val="minor"/>
      </rPr>
      <t>Tmax</t>
    </r>
    <r>
      <rPr>
        <sz val="11"/>
        <color theme="1"/>
        <rFont val="Calibri"/>
        <family val="2"/>
        <scheme val="minor"/>
      </rPr>
      <t xml:space="preserve"> (mgVSS/l)</t>
    </r>
  </si>
  <si>
    <r>
      <t>X</t>
    </r>
    <r>
      <rPr>
        <vertAlign val="subscript"/>
        <sz val="11"/>
        <color theme="1"/>
        <rFont val="Calibri"/>
        <family val="2"/>
        <scheme val="minor"/>
      </rPr>
      <t>Bmax</t>
    </r>
    <r>
      <rPr>
        <sz val="11"/>
        <color theme="1"/>
        <rFont val="Calibri"/>
        <family val="2"/>
        <scheme val="minor"/>
      </rPr>
      <t xml:space="preserve"> (mgVSS/l)</t>
    </r>
  </si>
  <si>
    <r>
      <t>X</t>
    </r>
    <r>
      <rPr>
        <vertAlign val="subscript"/>
        <sz val="11"/>
        <color theme="1"/>
        <rFont val="Calibri"/>
        <family val="2"/>
        <scheme val="minor"/>
      </rPr>
      <t>Dmax</t>
    </r>
    <r>
      <rPr>
        <sz val="11"/>
        <color theme="1"/>
        <rFont val="Calibri"/>
        <family val="2"/>
        <scheme val="minor"/>
      </rPr>
      <t xml:space="preserve"> (mgVSS/l)</t>
    </r>
  </si>
  <si>
    <r>
      <t>V</t>
    </r>
    <r>
      <rPr>
        <vertAlign val="subscript"/>
        <sz val="11"/>
        <color theme="1"/>
        <rFont val="Calibri"/>
        <family val="2"/>
        <scheme val="minor"/>
      </rPr>
      <t>min</t>
    </r>
    <r>
      <rPr>
        <sz val="11"/>
        <color theme="1"/>
        <rFont val="Calibri"/>
        <family val="2"/>
        <scheme val="minor"/>
      </rPr>
      <t xml:space="preserve"> 
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</si>
  <si>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r>
      <t>S</t>
    </r>
    <r>
      <rPr>
        <vertAlign val="subscript"/>
        <sz val="11"/>
        <color theme="1"/>
        <rFont val="Calibri"/>
        <family val="2"/>
        <scheme val="minor"/>
      </rPr>
      <t>NH</t>
    </r>
    <r>
      <rPr>
        <sz val="11"/>
        <color theme="1"/>
        <rFont val="Calibri"/>
        <family val="2"/>
        <scheme val="minor"/>
      </rPr>
      <t xml:space="preserve"> (mgN/l)</t>
    </r>
  </si>
  <si>
    <r>
      <t xml:space="preserve">new </t>
    </r>
    <r>
      <rPr>
        <sz val="11"/>
        <color theme="1"/>
        <rFont val="Symbol"/>
        <family val="1"/>
        <charset val="2"/>
      </rPr>
      <t>t</t>
    </r>
    <r>
      <rPr>
        <sz val="11"/>
        <color theme="1"/>
        <rFont val="Calibri"/>
        <family val="2"/>
        <scheme val="minor"/>
      </rPr>
      <t xml:space="preserve"> (days)</t>
    </r>
  </si>
  <si>
    <r>
      <t>X</t>
    </r>
    <r>
      <rPr>
        <vertAlign val="subscript"/>
        <sz val="11"/>
        <color theme="1"/>
        <rFont val="Calibri"/>
        <family val="2"/>
        <scheme val="minor"/>
      </rPr>
      <t>BA</t>
    </r>
    <r>
      <rPr>
        <sz val="11"/>
        <color theme="1"/>
        <rFont val="Calibri"/>
        <family val="2"/>
        <scheme val="minor"/>
      </rPr>
      <t>*</t>
    </r>
    <r>
      <rPr>
        <sz val="11"/>
        <color theme="1"/>
        <rFont val="Symbol"/>
        <family val="1"/>
        <charset val="2"/>
      </rPr>
      <t xml:space="preserve">t </t>
    </r>
    <r>
      <rPr>
        <sz val="11"/>
        <color theme="1"/>
        <rFont val="Calibri"/>
        <family val="2"/>
        <scheme val="minor"/>
      </rPr>
      <t>(mgCOD*d/l)</t>
    </r>
  </si>
  <si>
    <r>
      <t>X</t>
    </r>
    <r>
      <rPr>
        <vertAlign val="subscript"/>
        <sz val="11"/>
        <color theme="1"/>
        <rFont val="Calibri"/>
        <family val="2"/>
        <scheme val="minor"/>
      </rPr>
      <t>BH</t>
    </r>
    <r>
      <rPr>
        <sz val="11"/>
        <color theme="1"/>
        <rFont val="Calibri"/>
        <family val="2"/>
        <scheme val="minor"/>
      </rPr>
      <t>*</t>
    </r>
    <r>
      <rPr>
        <sz val="11"/>
        <color theme="1"/>
        <rFont val="Symbol"/>
        <family val="1"/>
        <charset val="2"/>
      </rPr>
      <t xml:space="preserve">t </t>
    </r>
    <r>
      <rPr>
        <sz val="11"/>
        <color theme="1"/>
        <rFont val="Calibri"/>
        <family val="2"/>
        <scheme val="minor"/>
      </rPr>
      <t>(mgCOD*d/l)</t>
    </r>
  </si>
  <si>
    <r>
      <t>X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*</t>
    </r>
    <r>
      <rPr>
        <sz val="11"/>
        <color theme="1"/>
        <rFont val="Symbol"/>
        <family val="1"/>
        <charset val="2"/>
      </rPr>
      <t xml:space="preserve">t </t>
    </r>
    <r>
      <rPr>
        <sz val="11"/>
        <color theme="1"/>
        <rFont val="Calibri"/>
        <family val="2"/>
        <scheme val="minor"/>
      </rPr>
      <t>(mgCOD*d/l)</t>
    </r>
  </si>
  <si>
    <r>
      <t>X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*</t>
    </r>
    <r>
      <rPr>
        <sz val="11"/>
        <color theme="1"/>
        <rFont val="Symbol"/>
        <family val="1"/>
        <charset val="2"/>
      </rPr>
      <t>t</t>
    </r>
    <r>
      <rPr>
        <sz val="11"/>
        <color theme="1"/>
        <rFont val="Calibri"/>
        <family val="2"/>
        <scheme val="minor"/>
      </rPr>
      <t xml:space="preserve"> (mgCOD*d/l)</t>
    </r>
  </si>
  <si>
    <r>
      <t>W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(kgVSS/d)</t>
    </r>
  </si>
  <si>
    <r>
      <t>X</t>
    </r>
    <r>
      <rPr>
        <vertAlign val="subscript"/>
        <sz val="11"/>
        <color theme="1"/>
        <rFont val="Calibri"/>
        <family val="2"/>
        <scheme val="minor"/>
      </rPr>
      <t>NHcells</t>
    </r>
    <r>
      <rPr>
        <sz val="11"/>
        <color theme="1"/>
        <rFont val="Calibri"/>
        <family val="2"/>
        <scheme val="minor"/>
      </rPr>
      <t xml:space="preserve"> (mgN/l)</t>
    </r>
  </si>
  <si>
    <r>
      <t>X</t>
    </r>
    <r>
      <rPr>
        <vertAlign val="subscript"/>
        <sz val="11"/>
        <color theme="1"/>
        <rFont val="Calibri"/>
        <family val="2"/>
        <scheme val="minor"/>
      </rPr>
      <t xml:space="preserve">BA </t>
    </r>
    <r>
      <rPr>
        <sz val="11"/>
        <color theme="1"/>
        <rFont val="Calibri"/>
        <family val="2"/>
        <scheme val="minor"/>
      </rPr>
      <t>(mgVSS/l)</t>
    </r>
  </si>
  <si>
    <r>
      <t>new RO</t>
    </r>
    <r>
      <rPr>
        <vertAlign val="subscript"/>
        <sz val="11"/>
        <color theme="1"/>
        <rFont val="Calibri"/>
        <family val="2"/>
        <scheme val="minor"/>
      </rPr>
      <t>COD</t>
    </r>
    <r>
      <rPr>
        <sz val="11"/>
        <color theme="1"/>
        <rFont val="Calibri"/>
        <family val="2"/>
        <scheme val="minor"/>
      </rPr>
      <t xml:space="preserve"> (mgO2/l/d)</t>
    </r>
  </si>
  <si>
    <r>
      <t>new RO</t>
    </r>
    <r>
      <rPr>
        <vertAlign val="subscript"/>
        <sz val="11"/>
        <color theme="1"/>
        <rFont val="Calibri"/>
        <family val="2"/>
        <scheme val="minor"/>
      </rPr>
      <t>NH</t>
    </r>
    <r>
      <rPr>
        <sz val="11"/>
        <color theme="1"/>
        <rFont val="Calibri"/>
        <family val="2"/>
        <scheme val="minor"/>
      </rPr>
      <t xml:space="preserve"> (mgO2/l/d)</t>
    </r>
  </si>
  <si>
    <r>
      <rPr>
        <sz val="11"/>
        <color theme="1"/>
        <rFont val="Symbol"/>
        <family val="1"/>
        <charset val="2"/>
      </rPr>
      <t>t</t>
    </r>
    <r>
      <rPr>
        <vertAlign val="subscript"/>
        <sz val="11"/>
        <color theme="1"/>
        <rFont val="Calibri"/>
        <family val="2"/>
        <scheme val="minor"/>
      </rPr>
      <t>min</t>
    </r>
    <r>
      <rPr>
        <sz val="11"/>
        <color theme="1"/>
        <rFont val="Calibri"/>
        <family val="2"/>
        <scheme val="minor"/>
      </rPr>
      <t xml:space="preserve"> (d) RO=1200 mgO2/l/d)</t>
    </r>
  </si>
  <si>
    <r>
      <t>new RO</t>
    </r>
    <r>
      <rPr>
        <vertAlign val="subscript"/>
        <sz val="11"/>
        <color theme="1"/>
        <rFont val="Calibri"/>
        <family val="2"/>
        <scheme val="minor"/>
      </rPr>
      <t>total</t>
    </r>
    <r>
      <rPr>
        <sz val="11"/>
        <color theme="1"/>
        <rFont val="Calibri"/>
        <family val="2"/>
        <scheme val="minor"/>
      </rPr>
      <t xml:space="preserve"> (mgO2/l/d)</t>
    </r>
  </si>
  <si>
    <t>design space is driven by effluent ammonia &lt; 1 mgN/l</t>
  </si>
  <si>
    <r>
      <t xml:space="preserve">excluded values for </t>
    </r>
    <r>
      <rPr>
        <sz val="11"/>
        <color theme="1"/>
        <rFont val="Symbol"/>
        <family val="1"/>
        <charset val="2"/>
      </rPr>
      <t>Q</t>
    </r>
  </si>
  <si>
    <r>
      <t>for constraints, X=2500 mgVSS/l, RO</t>
    </r>
    <r>
      <rPr>
        <b/>
        <vertAlign val="subscript"/>
        <sz val="14"/>
        <color theme="1"/>
        <rFont val="Calibri"/>
        <family val="2"/>
        <scheme val="minor"/>
      </rPr>
      <t xml:space="preserve">total </t>
    </r>
    <r>
      <rPr>
        <b/>
        <sz val="14"/>
        <color theme="1"/>
        <rFont val="Calibri"/>
        <family val="2"/>
        <scheme val="minor"/>
      </rPr>
      <t xml:space="preserve">&lt; 1200 mgO2/l/d, </t>
    </r>
  </si>
  <si>
    <t>CSTR with cell recycle example</t>
  </si>
  <si>
    <t>Oxygen and MLVSS constrained design</t>
  </si>
  <si>
    <t>Effluent COD &lt; 25 mg/l, effluent ammonia &lt; 1 mgNH4-N/l</t>
  </si>
  <si>
    <r>
      <t xml:space="preserve">for minimum volume, select </t>
    </r>
    <r>
      <rPr>
        <b/>
        <sz val="14"/>
        <color theme="1"/>
        <rFont val="Symbol"/>
        <family val="1"/>
        <charset val="2"/>
      </rPr>
      <t>Q</t>
    </r>
    <r>
      <rPr>
        <b/>
        <sz val="14"/>
        <color theme="1"/>
        <rFont val="Calibri"/>
        <family val="2"/>
        <scheme val="minor"/>
      </rPr>
      <t xml:space="preserve"> = 8 days, V = 24,000 m</t>
    </r>
    <r>
      <rPr>
        <b/>
        <vertAlign val="superscript"/>
        <sz val="14"/>
        <color theme="1"/>
        <rFont val="Calibri"/>
        <family val="2"/>
        <scheme val="minor"/>
      </rPr>
      <t>3</t>
    </r>
    <r>
      <rPr>
        <b/>
        <sz val="14"/>
        <color theme="1"/>
        <rFont val="Calibri"/>
        <family val="2"/>
        <scheme val="minor"/>
      </rPr>
      <t xml:space="preserve">, </t>
    </r>
  </si>
  <si>
    <r>
      <t>RO</t>
    </r>
    <r>
      <rPr>
        <b/>
        <vertAlign val="subscript"/>
        <sz val="14"/>
        <color theme="1"/>
        <rFont val="Calibri"/>
        <family val="2"/>
        <scheme val="minor"/>
      </rPr>
      <t>total</t>
    </r>
    <r>
      <rPr>
        <b/>
        <sz val="14"/>
        <color theme="1"/>
        <rFont val="Calibri"/>
        <family val="2"/>
        <scheme val="minor"/>
      </rPr>
      <t xml:space="preserve"> = 916 mgO2/l/d, </t>
    </r>
    <r>
      <rPr>
        <b/>
        <sz val="14"/>
        <color theme="1"/>
        <rFont val="Symbol"/>
        <family val="1"/>
        <charset val="2"/>
      </rPr>
      <t>t</t>
    </r>
    <r>
      <rPr>
        <b/>
        <sz val="14"/>
        <color theme="1"/>
        <rFont val="Calibri"/>
        <family val="2"/>
        <scheme val="minor"/>
      </rPr>
      <t xml:space="preserve"> = 7 hr (0.28 d)</t>
    </r>
  </si>
  <si>
    <t>sludge wasting rate is 7.5 metric tons VSS/day</t>
  </si>
  <si>
    <t>Ss</t>
  </si>
  <si>
    <t>Xb*tau</t>
  </si>
  <si>
    <t>Xd*tau</t>
  </si>
  <si>
    <t>Xt*tau</t>
  </si>
  <si>
    <t>VRO (kgO2/day)</t>
  </si>
  <si>
    <r>
      <t>new V(X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&lt;2500 mgVSS/l)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</si>
  <si>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r>
      <t xml:space="preserve">Graphs of the effects of </t>
    </r>
    <r>
      <rPr>
        <sz val="11"/>
        <color theme="1"/>
        <rFont val="Symbol"/>
        <family val="1"/>
        <charset val="2"/>
      </rPr>
      <t>Q</t>
    </r>
    <r>
      <rPr>
        <sz val="11"/>
        <color theme="1"/>
        <rFont val="Calibri"/>
        <family val="2"/>
        <scheme val="minor"/>
      </rPr>
      <t xml:space="preserve"> on Process Components in CSTR with Cell Recycle using Example Data</t>
    </r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</si>
</sst>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bscript"/>
      <sz val="14"/>
      <color theme="1"/>
      <name val="Calibri"/>
      <family val="2"/>
      <scheme val="minor"/>
    </font>
    <font>
      <b/>
      <sz val="14"/>
      <color theme="1"/>
      <name val="Symbol"/>
      <family val="1"/>
      <charset val="2"/>
    </font>
    <font>
      <b/>
      <vertAlign val="superscript"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" fontId="0" fillId="3" borderId="1" xfId="0" applyNumberFormat="1" applyFill="1" applyBorder="1"/>
    <xf numFmtId="0" fontId="0" fillId="0" borderId="0" xfId="0" applyFont="1"/>
    <xf numFmtId="0" fontId="5" fillId="0" borderId="0" xfId="0" applyFont="1"/>
    <xf numFmtId="0" fontId="5" fillId="2" borderId="0" xfId="0" applyFont="1" applyFill="1"/>
    <xf numFmtId="0" fontId="6" fillId="0" borderId="0" xfId="0" applyFont="1"/>
    <xf numFmtId="0" fontId="1" fillId="0" borderId="0" xfId="0" applyFont="1"/>
    <xf numFmtId="0" fontId="0" fillId="2" borderId="2" xfId="0" applyFill="1" applyBorder="1"/>
    <xf numFmtId="164" fontId="0" fillId="2" borderId="2" xfId="0" applyNumberFormat="1" applyFill="1" applyBorder="1"/>
    <xf numFmtId="1" fontId="0" fillId="2" borderId="2" xfId="0" applyNumberFormat="1" applyFill="1" applyBorder="1"/>
    <xf numFmtId="2" fontId="0" fillId="2" borderId="2" xfId="0" applyNumberFormat="1" applyFill="1" applyBorder="1"/>
    <xf numFmtId="0" fontId="0" fillId="0" borderId="2" xfId="0" applyBorder="1"/>
    <xf numFmtId="164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2" fontId="0" fillId="0" borderId="2" xfId="0" applyNumberFormat="1" applyFill="1" applyBorder="1"/>
    <xf numFmtId="1" fontId="0" fillId="3" borderId="2" xfId="0" applyNumberFormat="1" applyFill="1" applyBorder="1"/>
    <xf numFmtId="1" fontId="0" fillId="3" borderId="3" xfId="0" applyNumberFormat="1" applyFill="1" applyBorder="1"/>
    <xf numFmtId="1" fontId="0" fillId="0" borderId="4" xfId="0" applyNumberFormat="1" applyBorder="1"/>
    <xf numFmtId="1" fontId="0" fillId="0" borderId="5" xfId="0" applyNumberFormat="1" applyBorder="1"/>
    <xf numFmtId="1" fontId="0" fillId="3" borderId="6" xfId="0" applyNumberFormat="1" applyFill="1" applyBorder="1"/>
    <xf numFmtId="2" fontId="0" fillId="0" borderId="4" xfId="0" applyNumberFormat="1" applyFill="1" applyBorder="1"/>
    <xf numFmtId="164" fontId="0" fillId="0" borderId="4" xfId="0" applyNumberFormat="1" applyBorder="1"/>
    <xf numFmtId="2" fontId="0" fillId="0" borderId="5" xfId="0" applyNumberFormat="1" applyFill="1" applyBorder="1"/>
    <xf numFmtId="164" fontId="0" fillId="0" borderId="5" xfId="0" applyNumberFormat="1" applyBorder="1"/>
    <xf numFmtId="1" fontId="0" fillId="3" borderId="7" xfId="0" applyNumberFormat="1" applyFill="1" applyBorder="1"/>
    <xf numFmtId="1" fontId="0" fillId="3" borderId="8" xfId="0" applyNumberFormat="1" applyFill="1" applyBorder="1"/>
    <xf numFmtId="2" fontId="0" fillId="3" borderId="8" xfId="0" applyNumberFormat="1" applyFill="1" applyBorder="1"/>
    <xf numFmtId="164" fontId="0" fillId="3" borderId="9" xfId="0" applyNumberFormat="1" applyFill="1" applyBorder="1"/>
    <xf numFmtId="0" fontId="0" fillId="0" borderId="4" xfId="0" applyBorder="1"/>
    <xf numFmtId="0" fontId="0" fillId="0" borderId="5" xfId="0" applyBorder="1"/>
    <xf numFmtId="0" fontId="0" fillId="3" borderId="1" xfId="0" applyFill="1" applyBorder="1"/>
    <xf numFmtId="164" fontId="0" fillId="3" borderId="1" xfId="0" applyNumberFormat="1" applyFill="1" applyBorder="1"/>
    <xf numFmtId="2" fontId="0" fillId="3" borderId="3" xfId="0" applyNumberFormat="1" applyFill="1" applyBorder="1"/>
    <xf numFmtId="2" fontId="0" fillId="3" borderId="6" xfId="0" applyNumberForma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200" b="0"/>
              <a:t>Effect of </a:t>
            </a:r>
            <a:r>
              <a:rPr lang="en-US" sz="1200" b="0">
                <a:latin typeface="Symbol" pitchFamily="18" charset="2"/>
              </a:rPr>
              <a:t>Q</a:t>
            </a:r>
            <a:r>
              <a:rPr lang="en-US" sz="1200" b="0"/>
              <a:t> (SRT) on S,</a:t>
            </a:r>
            <a:r>
              <a:rPr lang="en-US" sz="1200" b="0" baseline="0"/>
              <a:t> X</a:t>
            </a:r>
            <a:r>
              <a:rPr lang="en-US" sz="1200" b="0" baseline="-25000"/>
              <a:t>B</a:t>
            </a:r>
            <a:r>
              <a:rPr lang="en-US" sz="1200" b="0" baseline="0"/>
              <a:t>, X</a:t>
            </a:r>
            <a:r>
              <a:rPr lang="en-US" sz="1200" b="0" baseline="-25000"/>
              <a:t>D</a:t>
            </a:r>
            <a:r>
              <a:rPr lang="en-US" sz="1200" b="0" baseline="0"/>
              <a:t>, and X</a:t>
            </a:r>
            <a:r>
              <a:rPr lang="en-US" sz="1200" b="0" baseline="-25000"/>
              <a:t>T</a:t>
            </a:r>
            <a:r>
              <a:rPr lang="en-US" sz="1200" b="0" baseline="0"/>
              <a:t> in CSTR with Cell Recycle</a:t>
            </a:r>
            <a:endParaRPr lang="en-US" sz="1200" b="0"/>
          </a:p>
        </c:rich>
      </c:tx>
      <c:layout/>
    </c:title>
    <c:plotArea>
      <c:layout>
        <c:manualLayout>
          <c:layoutTarget val="inner"/>
          <c:xMode val="edge"/>
          <c:yMode val="edge"/>
          <c:x val="0.11986345752149602"/>
          <c:y val="0.13417981059577583"/>
          <c:w val="0.73941622136552398"/>
          <c:h val="0.70916035182122583"/>
        </c:manualLayout>
      </c:layout>
      <c:scatterChart>
        <c:scatterStyle val="smoothMarker"/>
        <c:ser>
          <c:idx val="1"/>
          <c:order val="1"/>
          <c:tx>
            <c:strRef>
              <c:f>Calculation!$C$6</c:f>
              <c:strCache>
                <c:ptCount val="1"/>
                <c:pt idx="0">
                  <c:v>Xb*tau</c:v>
                </c:pt>
              </c:strCache>
            </c:strRef>
          </c:tx>
          <c:xVal>
            <c:numRef>
              <c:f>Calculation!$A$7:$A$32</c:f>
              <c:numCache>
                <c:formatCode>General</c:formatCode>
                <c:ptCount val="2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</c:numCache>
            </c:numRef>
          </c:xVal>
          <c:yVal>
            <c:numRef>
              <c:f>Calculation!$C$7:$C$32</c:f>
              <c:numCache>
                <c:formatCode>0</c:formatCode>
                <c:ptCount val="26"/>
                <c:pt idx="0">
                  <c:v>69.843652282676686</c:v>
                </c:pt>
                <c:pt idx="1">
                  <c:v>146.95722356739304</c:v>
                </c:pt>
                <c:pt idx="2">
                  <c:v>286.27140974967062</c:v>
                </c:pt>
                <c:pt idx="3">
                  <c:v>412.96734121418552</c:v>
                </c:pt>
                <c:pt idx="4">
                  <c:v>529.00900900900911</c:v>
                </c:pt>
                <c:pt idx="5">
                  <c:v>635.73333333333335</c:v>
                </c:pt>
                <c:pt idx="6">
                  <c:v>734.23246357167056</c:v>
                </c:pt>
                <c:pt idx="7">
                  <c:v>825.42700298797854</c:v>
                </c:pt>
                <c:pt idx="8">
                  <c:v>910.10270774976664</c:v>
                </c:pt>
                <c:pt idx="9">
                  <c:v>988.93557562752619</c:v>
                </c:pt>
                <c:pt idx="10">
                  <c:v>1062.5108225108227</c:v>
                </c:pt>
                <c:pt idx="11">
                  <c:v>1131.3378167863518</c:v>
                </c:pt>
                <c:pt idx="12">
                  <c:v>1195.862068965517</c:v>
                </c:pt>
                <c:pt idx="13">
                  <c:v>1256.4749781830219</c:v>
                </c:pt>
                <c:pt idx="14">
                  <c:v>1313.5218286209513</c:v>
                </c:pt>
                <c:pt idx="15">
                  <c:v>1367.3083997547517</c:v>
                </c:pt>
                <c:pt idx="16">
                  <c:v>1418.1064665952124</c:v>
                </c:pt>
                <c:pt idx="17">
                  <c:v>1466.1584033012605</c:v>
                </c:pt>
                <c:pt idx="18">
                  <c:v>1511.6810571364217</c:v>
                </c:pt>
                <c:pt idx="19">
                  <c:v>1554.869024740733</c:v>
                </c:pt>
                <c:pt idx="20">
                  <c:v>1595.897435897436</c:v>
                </c:pt>
                <c:pt idx="21">
                  <c:v>1634.92432923109</c:v>
                </c:pt>
                <c:pt idx="22">
                  <c:v>1672.0926880647487</c:v>
                </c:pt>
                <c:pt idx="23">
                  <c:v>1707.532191896054</c:v>
                </c:pt>
                <c:pt idx="24">
                  <c:v>1741.3607288234152</c:v>
                </c:pt>
                <c:pt idx="25">
                  <c:v>1773.6857061665246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Calculation!$D$6</c:f>
              <c:strCache>
                <c:ptCount val="1"/>
                <c:pt idx="0">
                  <c:v>Xd*tau</c:v>
                </c:pt>
              </c:strCache>
            </c:strRef>
          </c:tx>
          <c:xVal>
            <c:numRef>
              <c:f>Calculation!$A$7:$A$32</c:f>
              <c:numCache>
                <c:formatCode>General</c:formatCode>
                <c:ptCount val="2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</c:numCache>
            </c:numRef>
          </c:xVal>
          <c:yVal>
            <c:numRef>
              <c:f>Calculation!$D$7:$D$32</c:f>
              <c:numCache>
                <c:formatCode>0</c:formatCode>
                <c:ptCount val="26"/>
                <c:pt idx="0">
                  <c:v>0.34921826141338347</c:v>
                </c:pt>
                <c:pt idx="1">
                  <c:v>1.4695722356739309</c:v>
                </c:pt>
                <c:pt idx="2">
                  <c:v>5.7254281949934134</c:v>
                </c:pt>
                <c:pt idx="3">
                  <c:v>12.389020236425571</c:v>
                </c:pt>
                <c:pt idx="4">
                  <c:v>21.160360360360364</c:v>
                </c:pt>
                <c:pt idx="5">
                  <c:v>31.786666666666672</c:v>
                </c:pt>
                <c:pt idx="6">
                  <c:v>44.053947814300251</c:v>
                </c:pt>
                <c:pt idx="7">
                  <c:v>57.779890209158509</c:v>
                </c:pt>
                <c:pt idx="8">
                  <c:v>72.808216619981351</c:v>
                </c:pt>
                <c:pt idx="9">
                  <c:v>89.004201806477369</c:v>
                </c:pt>
                <c:pt idx="10">
                  <c:v>106.25108225108227</c:v>
                </c:pt>
                <c:pt idx="11">
                  <c:v>124.44715984649874</c:v>
                </c:pt>
                <c:pt idx="12">
                  <c:v>143.50344827586213</c:v>
                </c:pt>
                <c:pt idx="13">
                  <c:v>163.34174716379292</c:v>
                </c:pt>
                <c:pt idx="14">
                  <c:v>183.89305600693316</c:v>
                </c:pt>
                <c:pt idx="15">
                  <c:v>205.09625996321282</c:v>
                </c:pt>
                <c:pt idx="16">
                  <c:v>226.89703465523402</c:v>
                </c:pt>
                <c:pt idx="17">
                  <c:v>249.24692856121433</c:v>
                </c:pt>
                <c:pt idx="18">
                  <c:v>272.10259028455596</c:v>
                </c:pt>
                <c:pt idx="19">
                  <c:v>295.4251147007393</c:v>
                </c:pt>
                <c:pt idx="20">
                  <c:v>319.17948717948724</c:v>
                </c:pt>
                <c:pt idx="21">
                  <c:v>343.33410913852902</c:v>
                </c:pt>
                <c:pt idx="22">
                  <c:v>367.86039137424473</c:v>
                </c:pt>
                <c:pt idx="23">
                  <c:v>392.73240413609244</c:v>
                </c:pt>
                <c:pt idx="24">
                  <c:v>417.9265749176198</c:v>
                </c:pt>
                <c:pt idx="25">
                  <c:v>443.42142654163126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Calculation!$E$6</c:f>
              <c:strCache>
                <c:ptCount val="1"/>
                <c:pt idx="0">
                  <c:v>Xt*tau</c:v>
                </c:pt>
              </c:strCache>
            </c:strRef>
          </c:tx>
          <c:xVal>
            <c:numRef>
              <c:f>Calculation!$A$7:$A$32</c:f>
              <c:numCache>
                <c:formatCode>General</c:formatCode>
                <c:ptCount val="2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</c:numCache>
            </c:numRef>
          </c:xVal>
          <c:yVal>
            <c:numRef>
              <c:f>Calculation!$E$7:$E$32</c:f>
              <c:numCache>
                <c:formatCode>0</c:formatCode>
                <c:ptCount val="26"/>
                <c:pt idx="0">
                  <c:v>70.19287054409007</c:v>
                </c:pt>
                <c:pt idx="1">
                  <c:v>148.42679580306697</c:v>
                </c:pt>
                <c:pt idx="2">
                  <c:v>291.99683794466404</c:v>
                </c:pt>
                <c:pt idx="3">
                  <c:v>425.35636145061108</c:v>
                </c:pt>
                <c:pt idx="4">
                  <c:v>550.16936936936952</c:v>
                </c:pt>
                <c:pt idx="5">
                  <c:v>667.52</c:v>
                </c:pt>
                <c:pt idx="6">
                  <c:v>778.28641138597084</c:v>
                </c:pt>
                <c:pt idx="7">
                  <c:v>883.20689319713711</c:v>
                </c:pt>
                <c:pt idx="8">
                  <c:v>982.91092436974805</c:v>
                </c:pt>
                <c:pt idx="9">
                  <c:v>1077.9397774340036</c:v>
                </c:pt>
                <c:pt idx="10">
                  <c:v>1168.761904761905</c:v>
                </c:pt>
                <c:pt idx="11">
                  <c:v>1255.7849766328507</c:v>
                </c:pt>
                <c:pt idx="12">
                  <c:v>1339.3655172413792</c:v>
                </c:pt>
                <c:pt idx="13">
                  <c:v>1419.8167253468148</c:v>
                </c:pt>
                <c:pt idx="14">
                  <c:v>1497.4148846278845</c:v>
                </c:pt>
                <c:pt idx="15">
                  <c:v>1572.4046597179645</c:v>
                </c:pt>
                <c:pt idx="16">
                  <c:v>1645.0035012504463</c:v>
                </c:pt>
                <c:pt idx="17">
                  <c:v>1715.4053318624749</c:v>
                </c:pt>
                <c:pt idx="18">
                  <c:v>1783.7836474209776</c:v>
                </c:pt>
                <c:pt idx="19">
                  <c:v>1850.2941394414725</c:v>
                </c:pt>
                <c:pt idx="20">
                  <c:v>1915.0769230769233</c:v>
                </c:pt>
                <c:pt idx="21">
                  <c:v>1978.2584383696189</c:v>
                </c:pt>
                <c:pt idx="22">
                  <c:v>2039.9530794389934</c:v>
                </c:pt>
                <c:pt idx="23">
                  <c:v>2100.2645960321465</c:v>
                </c:pt>
                <c:pt idx="24">
                  <c:v>2159.287303741035</c:v>
                </c:pt>
                <c:pt idx="25">
                  <c:v>2217.1071327081559</c:v>
                </c:pt>
              </c:numCache>
            </c:numRef>
          </c:yVal>
          <c:smooth val="1"/>
        </c:ser>
        <c:axId val="91869184"/>
        <c:axId val="91871488"/>
      </c:scatterChart>
      <c:scatterChart>
        <c:scatterStyle val="smoothMarker"/>
        <c:ser>
          <c:idx val="0"/>
          <c:order val="0"/>
          <c:tx>
            <c:strRef>
              <c:f>Calculation!$B$6</c:f>
              <c:strCache>
                <c:ptCount val="1"/>
                <c:pt idx="0">
                  <c:v>Ss</c:v>
                </c:pt>
              </c:strCache>
            </c:strRef>
          </c:tx>
          <c:xVal>
            <c:numRef>
              <c:f>Calculation!$A$7:$A$32</c:f>
              <c:numCache>
                <c:formatCode>General</c:formatCode>
                <c:ptCount val="2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</c:numCache>
            </c:numRef>
          </c:xVal>
          <c:yVal>
            <c:numRef>
              <c:f>Calculation!$B$7:$B$32</c:f>
              <c:numCache>
                <c:formatCode>0.0</c:formatCode>
                <c:ptCount val="26"/>
                <c:pt idx="0">
                  <c:v>26.282051282051277</c:v>
                </c:pt>
                <c:pt idx="1">
                  <c:v>8.898305084745763</c:v>
                </c:pt>
                <c:pt idx="2">
                  <c:v>3.985507246376812</c:v>
                </c:pt>
                <c:pt idx="3">
                  <c:v>2.649769585253456</c:v>
                </c:pt>
                <c:pt idx="4">
                  <c:v>2.0270270270270268</c:v>
                </c:pt>
                <c:pt idx="5">
                  <c:v>1.6666666666666667</c:v>
                </c:pt>
                <c:pt idx="6">
                  <c:v>1.4317180616740088</c:v>
                </c:pt>
                <c:pt idx="7">
                  <c:v>1.2664165103189493</c:v>
                </c:pt>
                <c:pt idx="8">
                  <c:v>1.1437908496732025</c:v>
                </c:pt>
                <c:pt idx="9">
                  <c:v>1.0492040520984083</c:v>
                </c:pt>
                <c:pt idx="10">
                  <c:v>0.97402597402597402</c:v>
                </c:pt>
                <c:pt idx="11">
                  <c:v>0.91283863368669016</c:v>
                </c:pt>
                <c:pt idx="12">
                  <c:v>0.86206896551724144</c:v>
                </c:pt>
                <c:pt idx="13">
                  <c:v>0.81926514399205563</c:v>
                </c:pt>
                <c:pt idx="14">
                  <c:v>0.7826887661141807</c:v>
                </c:pt>
                <c:pt idx="15">
                  <c:v>0.75107296137339052</c:v>
                </c:pt>
                <c:pt idx="16">
                  <c:v>0.72347266881028938</c:v>
                </c:pt>
                <c:pt idx="17">
                  <c:v>0.69916855631141339</c:v>
                </c:pt>
                <c:pt idx="18">
                  <c:v>0.67760342368045656</c:v>
                </c:pt>
                <c:pt idx="19">
                  <c:v>0.65833896016205273</c:v>
                </c:pt>
                <c:pt idx="20">
                  <c:v>0.64102564102564108</c:v>
                </c:pt>
                <c:pt idx="21">
                  <c:v>0.62538133007931651</c:v>
                </c:pt>
                <c:pt idx="22">
                  <c:v>0.61117578579743881</c:v>
                </c:pt>
                <c:pt idx="23">
                  <c:v>0.59821925431274359</c:v>
                </c:pt>
                <c:pt idx="24">
                  <c:v>0.58635394456289991</c:v>
                </c:pt>
                <c:pt idx="25">
                  <c:v>0.57544757033248084</c:v>
                </c:pt>
              </c:numCache>
            </c:numRef>
          </c:yVal>
          <c:smooth val="1"/>
        </c:ser>
        <c:axId val="91883776"/>
        <c:axId val="91881856"/>
      </c:scatterChart>
      <c:valAx>
        <c:axId val="91869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en-US" sz="1200" b="0">
                    <a:latin typeface="Symbol" pitchFamily="18" charset="2"/>
                  </a:rPr>
                  <a:t>Q</a:t>
                </a:r>
                <a:r>
                  <a:rPr lang="en-US" sz="1200" b="0"/>
                  <a:t> (days)</a:t>
                </a:r>
              </a:p>
            </c:rich>
          </c:tx>
          <c:layout/>
        </c:title>
        <c:numFmt formatCode="General" sourceLinked="1"/>
        <c:tickLblPos val="nextTo"/>
        <c:crossAx val="91871488"/>
        <c:crosses val="autoZero"/>
        <c:crossBetween val="midCat"/>
      </c:valAx>
      <c:valAx>
        <c:axId val="91871488"/>
        <c:scaling>
          <c:orientation val="minMax"/>
          <c:max val="300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en-US" sz="1200" b="0"/>
                  <a:t>Xi*tau (mgCOD-d/l)</a:t>
                </a:r>
              </a:p>
            </c:rich>
          </c:tx>
          <c:layout/>
        </c:title>
        <c:numFmt formatCode="0" sourceLinked="1"/>
        <c:tickLblPos val="nextTo"/>
        <c:crossAx val="91869184"/>
        <c:crosses val="autoZero"/>
        <c:crossBetween val="midCat"/>
      </c:valAx>
      <c:valAx>
        <c:axId val="91881856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en-US" sz="1200" b="0"/>
                  <a:t>Ss (mgCOD/l)</a:t>
                </a:r>
              </a:p>
            </c:rich>
          </c:tx>
          <c:layout/>
        </c:title>
        <c:numFmt formatCode="0.0" sourceLinked="1"/>
        <c:tickLblPos val="nextTo"/>
        <c:crossAx val="91883776"/>
        <c:crosses val="max"/>
        <c:crossBetween val="midCat"/>
      </c:valAx>
      <c:valAx>
        <c:axId val="91883776"/>
        <c:scaling>
          <c:orientation val="minMax"/>
        </c:scaling>
        <c:delete val="1"/>
        <c:axPos val="b"/>
        <c:numFmt formatCode="General" sourceLinked="1"/>
        <c:tickLblPos val="none"/>
        <c:crossAx val="9188185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16869565217391308"/>
          <c:y val="0.15238927422473447"/>
          <c:w val="0.14825456836798992"/>
          <c:h val="0.30232666057808616"/>
        </c:manualLayout>
      </c:layout>
      <c:spPr>
        <a:solidFill>
          <a:schemeClr val="bg1"/>
        </a:solidFill>
      </c:spPr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200" b="0"/>
              <a:t>Effect of </a:t>
            </a:r>
            <a:r>
              <a:rPr lang="en-US" sz="1200" b="0">
                <a:latin typeface="Symbol" pitchFamily="18" charset="2"/>
              </a:rPr>
              <a:t>Q</a:t>
            </a:r>
            <a:r>
              <a:rPr lang="en-US" sz="1200" b="0"/>
              <a:t> (SRT) on Y</a:t>
            </a:r>
            <a:r>
              <a:rPr lang="en-US" sz="1200" b="0" baseline="-25000"/>
              <a:t>Hobs</a:t>
            </a:r>
            <a:r>
              <a:rPr lang="en-US" sz="1200" b="0"/>
              <a:t> (net cell yield) and W</a:t>
            </a:r>
            <a:r>
              <a:rPr lang="en-US" sz="1200" b="0" baseline="-25000"/>
              <a:t>T</a:t>
            </a:r>
            <a:r>
              <a:rPr lang="en-US" sz="1200" b="0"/>
              <a:t> (solids wasting rate)</a:t>
            </a:r>
            <a:r>
              <a:rPr lang="en-US" sz="1200" b="0" baseline="0"/>
              <a:t> </a:t>
            </a:r>
            <a:r>
              <a:rPr lang="en-US" sz="1200" b="0"/>
              <a:t>in CSTR with Cell Recycle</a:t>
            </a:r>
          </a:p>
        </c:rich>
      </c:tx>
      <c:layout>
        <c:manualLayout>
          <c:xMode val="edge"/>
          <c:yMode val="edge"/>
          <c:x val="0.10773363556828128"/>
          <c:y val="1.3888888888888892E-2"/>
        </c:manualLayout>
      </c:layout>
    </c:title>
    <c:plotArea>
      <c:layout>
        <c:manualLayout>
          <c:layoutTarget val="inner"/>
          <c:xMode val="edge"/>
          <c:yMode val="edge"/>
          <c:x val="0.14188996261830908"/>
          <c:y val="0.16614031354188838"/>
          <c:w val="0.71306231607412718"/>
          <c:h val="0.68348537513891849"/>
        </c:manualLayout>
      </c:layout>
      <c:scatterChart>
        <c:scatterStyle val="smoothMarker"/>
        <c:ser>
          <c:idx val="1"/>
          <c:order val="1"/>
          <c:tx>
            <c:v>Wt</c:v>
          </c:tx>
          <c:xVal>
            <c:numRef>
              <c:f>Calculation!$A$7:$A$32</c:f>
              <c:numCache>
                <c:formatCode>General</c:formatCode>
                <c:ptCount val="2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</c:numCache>
            </c:numRef>
          </c:xVal>
          <c:yVal>
            <c:numRef>
              <c:f>Calculation!$G$7:$G$32</c:f>
              <c:numCache>
                <c:formatCode>0</c:formatCode>
                <c:ptCount val="26"/>
                <c:pt idx="0">
                  <c:v>8541.780302830115</c:v>
                </c:pt>
                <c:pt idx="1">
                  <c:v>9031.0388432288655</c:v>
                </c:pt>
                <c:pt idx="2">
                  <c:v>8883.2840839503442</c:v>
                </c:pt>
                <c:pt idx="3">
                  <c:v>8626.9459223785925</c:v>
                </c:pt>
                <c:pt idx="4">
                  <c:v>8368.773505900268</c:v>
                </c:pt>
                <c:pt idx="5">
                  <c:v>8123.0602816901428</c:v>
                </c:pt>
                <c:pt idx="6">
                  <c:v>7892.4819182802685</c:v>
                </c:pt>
                <c:pt idx="7">
                  <c:v>7676.9693734640505</c:v>
                </c:pt>
                <c:pt idx="8">
                  <c:v>7475.6605515445635</c:v>
                </c:pt>
                <c:pt idx="9">
                  <c:v>7287.4801854693214</c:v>
                </c:pt>
                <c:pt idx="10">
                  <c:v>7111.34004024145</c:v>
                </c:pt>
                <c:pt idx="11">
                  <c:v>6946.2113944352304</c:v>
                </c:pt>
                <c:pt idx="12">
                  <c:v>6791.1491015055863</c:v>
                </c:pt>
                <c:pt idx="13">
                  <c:v>6645.2960492938682</c:v>
                </c:pt>
                <c:pt idx="14">
                  <c:v>6507.8795790668619</c:v>
                </c:pt>
                <c:pt idx="15">
                  <c:v>6378.2048168841375</c:v>
                </c:pt>
                <c:pt idx="16">
                  <c:v>6255.6471174312765</c:v>
                </c:pt>
                <c:pt idx="17">
                  <c:v>6139.6446011979215</c:v>
                </c:pt>
                <c:pt idx="18">
                  <c:v>6029.6912025497822</c:v>
                </c:pt>
                <c:pt idx="19">
                  <c:v>5925.3303798273982</c:v>
                </c:pt>
                <c:pt idx="20">
                  <c:v>5826.149512459373</c:v>
                </c:pt>
                <c:pt idx="21">
                  <c:v>5731.7749522178092</c:v>
                </c:pt>
                <c:pt idx="22">
                  <c:v>5641.867671687869</c:v>
                </c:pt>
                <c:pt idx="23">
                  <c:v>5556.1194457188449</c:v>
                </c:pt>
                <c:pt idx="24">
                  <c:v>5474.2495024420605</c:v>
                </c:pt>
                <c:pt idx="25">
                  <c:v>5396.0015849573147</c:v>
                </c:pt>
              </c:numCache>
            </c:numRef>
          </c:yVal>
          <c:smooth val="1"/>
        </c:ser>
        <c:axId val="91914240"/>
        <c:axId val="91916160"/>
      </c:scatterChart>
      <c:scatterChart>
        <c:scatterStyle val="smoothMarker"/>
        <c:ser>
          <c:idx val="0"/>
          <c:order val="0"/>
          <c:tx>
            <c:v>Yhobs</c:v>
          </c:tx>
          <c:xVal>
            <c:numRef>
              <c:f>Calculation!$A$7:$A$32</c:f>
              <c:numCache>
                <c:formatCode>General</c:formatCode>
                <c:ptCount val="2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</c:numCache>
            </c:numRef>
          </c:xVal>
          <c:yVal>
            <c:numRef>
              <c:f>Calculation!$F$7:$F$32</c:f>
              <c:numCache>
                <c:formatCode>0.00</c:formatCode>
                <c:ptCount val="26"/>
                <c:pt idx="0">
                  <c:v>0.62751219512195122</c:v>
                </c:pt>
                <c:pt idx="1">
                  <c:v>0.61561904761904762</c:v>
                </c:pt>
                <c:pt idx="2">
                  <c:v>0.59345454545454546</c:v>
                </c:pt>
                <c:pt idx="3">
                  <c:v>0.5732173913043479</c:v>
                </c:pt>
                <c:pt idx="4">
                  <c:v>0.55466666666666675</c:v>
                </c:pt>
                <c:pt idx="5">
                  <c:v>0.53760000000000008</c:v>
                </c:pt>
                <c:pt idx="6">
                  <c:v>0.52184615384615385</c:v>
                </c:pt>
                <c:pt idx="7">
                  <c:v>0.5072592592592593</c:v>
                </c:pt>
                <c:pt idx="8">
                  <c:v>0.49371428571428577</c:v>
                </c:pt>
                <c:pt idx="9">
                  <c:v>0.48110344827586216</c:v>
                </c:pt>
                <c:pt idx="10">
                  <c:v>0.46933333333333338</c:v>
                </c:pt>
                <c:pt idx="11">
                  <c:v>0.45832258064516129</c:v>
                </c:pt>
                <c:pt idx="12">
                  <c:v>0.44800000000000006</c:v>
                </c:pt>
                <c:pt idx="13">
                  <c:v>0.43830303030303031</c:v>
                </c:pt>
                <c:pt idx="14">
                  <c:v>0.42917647058823533</c:v>
                </c:pt>
                <c:pt idx="15">
                  <c:v>0.42057142857142854</c:v>
                </c:pt>
                <c:pt idx="16">
                  <c:v>0.41244444444444445</c:v>
                </c:pt>
                <c:pt idx="17">
                  <c:v>0.40475675675675676</c:v>
                </c:pt>
                <c:pt idx="18">
                  <c:v>0.39747368421052631</c:v>
                </c:pt>
                <c:pt idx="19">
                  <c:v>0.39056410256410251</c:v>
                </c:pt>
                <c:pt idx="20">
                  <c:v>0.38400000000000001</c:v>
                </c:pt>
                <c:pt idx="21">
                  <c:v>0.37775609756097561</c:v>
                </c:pt>
                <c:pt idx="22">
                  <c:v>0.37180952380952381</c:v>
                </c:pt>
                <c:pt idx="23">
                  <c:v>0.36613953488372086</c:v>
                </c:pt>
                <c:pt idx="24">
                  <c:v>0.36072727272727267</c:v>
                </c:pt>
                <c:pt idx="25">
                  <c:v>0.35555555555555557</c:v>
                </c:pt>
              </c:numCache>
            </c:numRef>
          </c:yVal>
          <c:smooth val="1"/>
        </c:ser>
        <c:axId val="91936640"/>
        <c:axId val="91934720"/>
      </c:scatterChart>
      <c:valAx>
        <c:axId val="91914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200" b="0">
                    <a:latin typeface="Symbol" pitchFamily="18" charset="2"/>
                  </a:rPr>
                  <a:t>Q</a:t>
                </a:r>
                <a:r>
                  <a:rPr lang="en-US" sz="1200" b="0"/>
                  <a:t> (days)</a:t>
                </a:r>
              </a:p>
            </c:rich>
          </c:tx>
          <c:layout/>
        </c:title>
        <c:numFmt formatCode="General" sourceLinked="1"/>
        <c:tickLblPos val="nextTo"/>
        <c:crossAx val="91916160"/>
        <c:crosses val="autoZero"/>
        <c:crossBetween val="midCat"/>
      </c:valAx>
      <c:valAx>
        <c:axId val="91916160"/>
        <c:scaling>
          <c:orientation val="minMax"/>
          <c:max val="1400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200" b="0"/>
                  <a:t>W</a:t>
                </a:r>
                <a:r>
                  <a:rPr lang="en-US" sz="1200" b="0" baseline="-25000"/>
                  <a:t>T</a:t>
                </a:r>
                <a:r>
                  <a:rPr lang="en-US" sz="1200" b="0"/>
                  <a:t> (kgVSS/day)</a:t>
                </a:r>
              </a:p>
            </c:rich>
          </c:tx>
          <c:layout/>
        </c:title>
        <c:numFmt formatCode="0" sourceLinked="1"/>
        <c:tickLblPos val="nextTo"/>
        <c:crossAx val="91914240"/>
        <c:crosses val="autoZero"/>
        <c:crossBetween val="midCat"/>
        <c:majorUnit val="2000"/>
      </c:valAx>
      <c:valAx>
        <c:axId val="91934720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200" b="0"/>
                  <a:t>Y</a:t>
                </a:r>
                <a:r>
                  <a:rPr lang="en-US" sz="1200" b="0" baseline="-25000"/>
                  <a:t>Hobs</a:t>
                </a:r>
                <a:r>
                  <a:rPr lang="en-US" sz="1200" b="0"/>
                  <a:t> (gCODx/gCODs)</a:t>
                </a:r>
              </a:p>
            </c:rich>
          </c:tx>
          <c:layout/>
        </c:title>
        <c:numFmt formatCode="0.00" sourceLinked="1"/>
        <c:tickLblPos val="nextTo"/>
        <c:crossAx val="91936640"/>
        <c:crosses val="max"/>
        <c:crossBetween val="midCat"/>
      </c:valAx>
      <c:valAx>
        <c:axId val="91936640"/>
        <c:scaling>
          <c:orientation val="minMax"/>
        </c:scaling>
        <c:delete val="1"/>
        <c:axPos val="b"/>
        <c:numFmt formatCode="General" sourceLinked="1"/>
        <c:tickLblPos val="none"/>
        <c:crossAx val="91934720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7302547707852334"/>
          <c:y val="0.23372537892222933"/>
          <c:w val="0.15158333333333346"/>
          <c:h val="0.16743438320209991"/>
        </c:manualLayout>
      </c:layout>
      <c:spPr>
        <a:solidFill>
          <a:sysClr val="window" lastClr="FFFFFF"/>
        </a:solidFill>
      </c:spPr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200" b="0"/>
              <a:t>Effect of </a:t>
            </a:r>
            <a:r>
              <a:rPr lang="en-US" sz="1200" b="0">
                <a:latin typeface="Symbol" pitchFamily="18" charset="2"/>
              </a:rPr>
              <a:t>Q</a:t>
            </a:r>
            <a:r>
              <a:rPr lang="en-US" sz="1200" b="0"/>
              <a:t> (SRT) on O</a:t>
            </a:r>
            <a:r>
              <a:rPr lang="en-US" sz="1200" b="0" baseline="-25000"/>
              <a:t>2</a:t>
            </a:r>
            <a:r>
              <a:rPr lang="en-US" sz="1200" b="0"/>
              <a:t> supply rate for COD removal, nitrification, and total in CSTR with Cell Recycle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6124643555115536"/>
          <c:y val="0.18481870636586575"/>
          <c:w val="0.76756173651181625"/>
          <c:h val="0.65419917933649641"/>
        </c:manualLayout>
      </c:layout>
      <c:scatterChart>
        <c:scatterStyle val="smoothMarker"/>
        <c:ser>
          <c:idx val="0"/>
          <c:order val="0"/>
          <c:tx>
            <c:v>ROcod</c:v>
          </c:tx>
          <c:xVal>
            <c:numRef>
              <c:f>Calculation!$A$7:$A$32</c:f>
              <c:numCache>
                <c:formatCode>General</c:formatCode>
                <c:ptCount val="2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</c:numCache>
            </c:numRef>
          </c:xVal>
          <c:yVal>
            <c:numRef>
              <c:f>Calculation!$O$7:$O$32</c:f>
              <c:numCache>
                <c:formatCode>0</c:formatCode>
                <c:ptCount val="26"/>
                <c:pt idx="0">
                  <c:v>1200</c:v>
                </c:pt>
                <c:pt idx="1">
                  <c:v>1200</c:v>
                </c:pt>
                <c:pt idx="2">
                  <c:v>1200</c:v>
                </c:pt>
                <c:pt idx="3">
                  <c:v>881.03762135922295</c:v>
                </c:pt>
                <c:pt idx="4">
                  <c:v>712.56009615384585</c:v>
                </c:pt>
                <c:pt idx="5">
                  <c:v>610.68452380952374</c:v>
                </c:pt>
                <c:pt idx="6">
                  <c:v>542.12853773584902</c:v>
                </c:pt>
                <c:pt idx="7">
                  <c:v>492.62767022696926</c:v>
                </c:pt>
                <c:pt idx="8">
                  <c:v>455.04918981481467</c:v>
                </c:pt>
                <c:pt idx="9">
                  <c:v>425.43004587155946</c:v>
                </c:pt>
                <c:pt idx="10">
                  <c:v>401.39204545454527</c:v>
                </c:pt>
                <c:pt idx="11">
                  <c:v>381.4214782964782</c:v>
                </c:pt>
                <c:pt idx="12">
                  <c:v>364.50892857142856</c:v>
                </c:pt>
                <c:pt idx="13">
                  <c:v>349.95532675289309</c:v>
                </c:pt>
                <c:pt idx="14">
                  <c:v>337.26112155388466</c:v>
                </c:pt>
                <c:pt idx="15">
                  <c:v>326.05978260869557</c:v>
                </c:pt>
                <c:pt idx="16">
                  <c:v>316.07623922413796</c:v>
                </c:pt>
                <c:pt idx="17">
                  <c:v>307.09998743086982</c:v>
                </c:pt>
                <c:pt idx="18">
                  <c:v>298.96716101694909</c:v>
                </c:pt>
                <c:pt idx="19">
                  <c:v>291.5482640424591</c:v>
                </c:pt>
                <c:pt idx="20">
                  <c:v>284.73958333333326</c:v>
                </c:pt>
                <c:pt idx="21">
                  <c:v>278.45705430932702</c:v>
                </c:pt>
                <c:pt idx="22">
                  <c:v>272.6317995529061</c:v>
                </c:pt>
                <c:pt idx="23">
                  <c:v>267.20683103570173</c:v>
                </c:pt>
                <c:pt idx="24">
                  <c:v>262.13457661290323</c:v>
                </c:pt>
                <c:pt idx="25">
                  <c:v>257.37499999999994</c:v>
                </c:pt>
              </c:numCache>
            </c:numRef>
          </c:yVal>
          <c:smooth val="1"/>
        </c:ser>
        <c:ser>
          <c:idx val="1"/>
          <c:order val="1"/>
          <c:tx>
            <c:v>ROnh</c:v>
          </c:tx>
          <c:marker>
            <c:symbol val="square"/>
            <c:size val="4"/>
          </c:marker>
          <c:xVal>
            <c:numRef>
              <c:f>Calculation!$A$12:$A$32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</c:numCache>
            </c:numRef>
          </c:xVal>
          <c:yVal>
            <c:numRef>
              <c:f>Calculation!$T$12:$T$32</c:f>
              <c:numCache>
                <c:formatCode>0</c:formatCode>
                <c:ptCount val="21"/>
                <c:pt idx="0">
                  <c:v>591.02744542984976</c:v>
                </c:pt>
                <c:pt idx="1">
                  <c:v>551.58025973187216</c:v>
                </c:pt>
                <c:pt idx="2">
                  <c:v>502.54927179429541</c:v>
                </c:pt>
                <c:pt idx="3">
                  <c:v>461.20265399294152</c:v>
                </c:pt>
                <c:pt idx="4">
                  <c:v>427.29510187753044</c:v>
                </c:pt>
                <c:pt idx="5">
                  <c:v>399.27557933593698</c:v>
                </c:pt>
                <c:pt idx="6">
                  <c:v>375.80152620503139</c:v>
                </c:pt>
                <c:pt idx="7">
                  <c:v>355.85783401001618</c:v>
                </c:pt>
                <c:pt idx="8">
                  <c:v>338.69314243856314</c:v>
                </c:pt>
                <c:pt idx="9">
                  <c:v>323.74843598392926</c:v>
                </c:pt>
                <c:pt idx="10">
                  <c:v>310.60248121830506</c:v>
                </c:pt>
                <c:pt idx="11">
                  <c:v>298.93319955724576</c:v>
                </c:pt>
                <c:pt idx="12">
                  <c:v>288.49072774467504</c:v>
                </c:pt>
                <c:pt idx="13">
                  <c:v>279.07854826160991</c:v>
                </c:pt>
                <c:pt idx="14">
                  <c:v>270.54012286478928</c:v>
                </c:pt>
                <c:pt idx="15">
                  <c:v>262.7492945496831</c:v>
                </c:pt>
                <c:pt idx="16">
                  <c:v>255.60329753282818</c:v>
                </c:pt>
                <c:pt idx="17">
                  <c:v>249.01759581878201</c:v>
                </c:pt>
                <c:pt idx="18">
                  <c:v>242.92202153267974</c:v>
                </c:pt>
                <c:pt idx="19">
                  <c:v>237.25784974445287</c:v>
                </c:pt>
                <c:pt idx="20">
                  <c:v>231.97555691151214</c:v>
                </c:pt>
              </c:numCache>
            </c:numRef>
          </c:yVal>
          <c:smooth val="1"/>
        </c:ser>
        <c:ser>
          <c:idx val="2"/>
          <c:order val="2"/>
          <c:tx>
            <c:v>ROtotal</c:v>
          </c:tx>
          <c:xVal>
            <c:numRef>
              <c:f>Calculation!$A$12:$A$32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</c:numCache>
            </c:numRef>
          </c:xVal>
          <c:yVal>
            <c:numRef>
              <c:f>Calculation!$U$12:$U$32</c:f>
              <c:numCache>
                <c:formatCode>0</c:formatCode>
                <c:ptCount val="21"/>
                <c:pt idx="0">
                  <c:v>1201.7119692393735</c:v>
                </c:pt>
                <c:pt idx="1">
                  <c:v>1093.7087974677211</c:v>
                </c:pt>
                <c:pt idx="2">
                  <c:v>995.17694202126472</c:v>
                </c:pt>
                <c:pt idx="3">
                  <c:v>916.25184380775613</c:v>
                </c:pt>
                <c:pt idx="4">
                  <c:v>852.72514774908996</c:v>
                </c:pt>
                <c:pt idx="5">
                  <c:v>800.66762479048225</c:v>
                </c:pt>
                <c:pt idx="6">
                  <c:v>757.22300450150965</c:v>
                </c:pt>
                <c:pt idx="7">
                  <c:v>720.36676258144473</c:v>
                </c:pt>
                <c:pt idx="8">
                  <c:v>688.64846919145623</c:v>
                </c:pt>
                <c:pt idx="9">
                  <c:v>661.00955753781386</c:v>
                </c:pt>
                <c:pt idx="10">
                  <c:v>636.66226382700063</c:v>
                </c:pt>
                <c:pt idx="11">
                  <c:v>615.00943878138378</c:v>
                </c:pt>
                <c:pt idx="12">
                  <c:v>595.5907151755448</c:v>
                </c:pt>
                <c:pt idx="13">
                  <c:v>578.045709278559</c:v>
                </c:pt>
                <c:pt idx="14">
                  <c:v>562.08838690724838</c:v>
                </c:pt>
                <c:pt idx="15">
                  <c:v>547.48887788301636</c:v>
                </c:pt>
                <c:pt idx="16">
                  <c:v>534.06035184215523</c:v>
                </c:pt>
                <c:pt idx="17">
                  <c:v>521.64939537168812</c:v>
                </c:pt>
                <c:pt idx="18">
                  <c:v>510.12885256838149</c:v>
                </c:pt>
                <c:pt idx="19">
                  <c:v>499.3924263573561</c:v>
                </c:pt>
                <c:pt idx="20">
                  <c:v>489.35055691151206</c:v>
                </c:pt>
              </c:numCache>
            </c:numRef>
          </c:yVal>
          <c:smooth val="1"/>
        </c:ser>
        <c:axId val="99119872"/>
        <c:axId val="99121792"/>
      </c:scatterChart>
      <c:valAx>
        <c:axId val="99119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200" b="0">
                    <a:latin typeface="Symbol" pitchFamily="18" charset="2"/>
                  </a:rPr>
                  <a:t>Q</a:t>
                </a:r>
                <a:r>
                  <a:rPr lang="en-US" sz="1200" b="0"/>
                  <a:t> (days)</a:t>
                </a:r>
              </a:p>
            </c:rich>
          </c:tx>
          <c:layout/>
        </c:title>
        <c:numFmt formatCode="General" sourceLinked="1"/>
        <c:tickLblPos val="nextTo"/>
        <c:crossAx val="99121792"/>
        <c:crosses val="autoZero"/>
        <c:crossBetween val="midCat"/>
      </c:valAx>
      <c:valAx>
        <c:axId val="9912179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200" b="0"/>
                  <a:t>ROi (mgO</a:t>
                </a:r>
                <a:r>
                  <a:rPr lang="en-US" sz="1200" b="0" baseline="-25000"/>
                  <a:t>2</a:t>
                </a:r>
                <a:r>
                  <a:rPr lang="en-US" sz="1200" b="0"/>
                  <a:t>/l/d)</a:t>
                </a:r>
              </a:p>
            </c:rich>
          </c:tx>
          <c:layout>
            <c:manualLayout>
              <c:xMode val="edge"/>
              <c:yMode val="edge"/>
              <c:x val="2.7489133028331943E-2"/>
              <c:y val="0.38587388925781885"/>
            </c:manualLayout>
          </c:layout>
        </c:title>
        <c:numFmt formatCode="0" sourceLinked="1"/>
        <c:tickLblPos val="nextTo"/>
        <c:crossAx val="9911987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1680419122462358"/>
          <c:y val="0.23853467857802182"/>
          <c:w val="0.1600785854616896"/>
          <c:h val="0.22119771725781981"/>
        </c:manualLayout>
      </c:layout>
      <c:spPr>
        <a:solidFill>
          <a:sysClr val="window" lastClr="FFFFFF"/>
        </a:solidFill>
      </c:spPr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200" b="0"/>
              <a:t>Effect of </a:t>
            </a:r>
            <a:r>
              <a:rPr lang="en-US" sz="1200" b="0">
                <a:latin typeface="Symbol" pitchFamily="18" charset="2"/>
              </a:rPr>
              <a:t>Q</a:t>
            </a:r>
            <a:r>
              <a:rPr lang="en-US" sz="1200" b="0"/>
              <a:t> (SRT) on CSTR</a:t>
            </a:r>
            <a:r>
              <a:rPr lang="en-US" sz="1200" b="0" baseline="0"/>
              <a:t> Volume and Mass O</a:t>
            </a:r>
            <a:r>
              <a:rPr lang="en-US" sz="1200" b="0" baseline="-25000"/>
              <a:t>2</a:t>
            </a:r>
            <a:r>
              <a:rPr lang="en-US" sz="1200" b="0" baseline="0"/>
              <a:t> Supply Rate for X</a:t>
            </a:r>
            <a:r>
              <a:rPr lang="en-US" sz="1200" b="0" baseline="-25000"/>
              <a:t>T</a:t>
            </a:r>
            <a:r>
              <a:rPr lang="en-US" sz="1200" b="0" baseline="0"/>
              <a:t> = 2,500 mgVSS/l in CSTR with Cell Recycle</a:t>
            </a:r>
            <a:endParaRPr lang="en-US" sz="1200" b="0"/>
          </a:p>
        </c:rich>
      </c:tx>
      <c:layout/>
    </c:title>
    <c:plotArea>
      <c:layout>
        <c:manualLayout>
          <c:layoutTarget val="inner"/>
          <c:xMode val="edge"/>
          <c:yMode val="edge"/>
          <c:x val="0.14340507436570429"/>
          <c:y val="0.15741481856052406"/>
          <c:w val="0.815504593175853"/>
          <c:h val="0.69221090482955672"/>
        </c:manualLayout>
      </c:layout>
      <c:scatterChart>
        <c:scatterStyle val="smoothMarker"/>
        <c:ser>
          <c:idx val="0"/>
          <c:order val="0"/>
          <c:tx>
            <c:v>V</c:v>
          </c:tx>
          <c:xVal>
            <c:numRef>
              <c:f>Calculation!$A$12:$A$32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</c:numCache>
            </c:numRef>
          </c:xVal>
          <c:yVal>
            <c:numRef>
              <c:f>Calculation!$N$12:$N$32</c:f>
              <c:numCache>
                <c:formatCode>0</c:formatCode>
                <c:ptCount val="21"/>
                <c:pt idx="0">
                  <c:v>16246.120563380282</c:v>
                </c:pt>
                <c:pt idx="1">
                  <c:v>18941.956603872644</c:v>
                </c:pt>
                <c:pt idx="2">
                  <c:v>21495.514245699334</c:v>
                </c:pt>
                <c:pt idx="3">
                  <c:v>23922.113764942602</c:v>
                </c:pt>
                <c:pt idx="4">
                  <c:v>26234.928667689557</c:v>
                </c:pt>
                <c:pt idx="5">
                  <c:v>28445.360160965804</c:v>
                </c:pt>
                <c:pt idx="6">
                  <c:v>30563.330135515018</c:v>
                </c:pt>
                <c:pt idx="7">
                  <c:v>32597.515687226809</c:v>
                </c:pt>
                <c:pt idx="8">
                  <c:v>34555.539456328115</c:v>
                </c:pt>
                <c:pt idx="9">
                  <c:v>36444.12564277443</c:v>
                </c:pt>
                <c:pt idx="10">
                  <c:v>38269.228901304828</c:v>
                </c:pt>
                <c:pt idx="11">
                  <c:v>40036.141551560162</c:v>
                </c:pt>
                <c:pt idx="12">
                  <c:v>41749.58328814587</c:v>
                </c:pt>
                <c:pt idx="13">
                  <c:v>43413.776658358445</c:v>
                </c:pt>
                <c:pt idx="14">
                  <c:v>45032.510886688236</c:v>
                </c:pt>
                <c:pt idx="15">
                  <c:v>46609.196099674984</c:v>
                </c:pt>
                <c:pt idx="16">
                  <c:v>48146.909598629602</c:v>
                </c:pt>
                <c:pt idx="17">
                  <c:v>49648.435510853247</c:v>
                </c:pt>
                <c:pt idx="18">
                  <c:v>51116.298900613365</c:v>
                </c:pt>
                <c:pt idx="19">
                  <c:v>52552.795223443783</c:v>
                </c:pt>
                <c:pt idx="20">
                  <c:v>53960.015849573145</c:v>
                </c:pt>
              </c:numCache>
            </c:numRef>
          </c:yVal>
          <c:smooth val="1"/>
        </c:ser>
        <c:ser>
          <c:idx val="1"/>
          <c:order val="1"/>
          <c:tx>
            <c:v>VRO</c:v>
          </c:tx>
          <c:xVal>
            <c:numRef>
              <c:f>Calculation!$A$12:$A$32</c:f>
              <c:numCache>
                <c:formatCode>General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</c:numCache>
            </c:numRef>
          </c:xVal>
          <c:yVal>
            <c:numRef>
              <c:f>Calculation!$V$12:$V$32</c:f>
              <c:numCache>
                <c:formatCode>0</c:formatCode>
                <c:ptCount val="21"/>
                <c:pt idx="0">
                  <c:v>19523.157534720001</c:v>
                </c:pt>
                <c:pt idx="1">
                  <c:v>20716.984578907308</c:v>
                </c:pt>
                <c:pt idx="2">
                  <c:v>21391.840134209597</c:v>
                </c:pt>
                <c:pt idx="3">
                  <c:v>21918.680844907562</c:v>
                </c:pt>
                <c:pt idx="4">
                  <c:v>22371.183424342413</c:v>
                </c:pt>
                <c:pt idx="5">
                  <c:v>22775.278956390299</c:v>
                </c:pt>
                <c:pt idx="6">
                  <c:v>23143.256672786214</c:v>
                </c:pt>
                <c:pt idx="7">
                  <c:v>23482.166843805437</c:v>
                </c:pt>
                <c:pt idx="8">
                  <c:v>23796.619348685319</c:v>
                </c:pt>
                <c:pt idx="9">
                  <c:v>24089.915365982823</c:v>
                </c:pt>
                <c:pt idx="10">
                  <c:v>24364.573907218411</c:v>
                </c:pt>
                <c:pt idx="11">
                  <c:v>24622.604946597054</c:v>
                </c:pt>
                <c:pt idx="12">
                  <c:v>24865.66416886777</c:v>
                </c:pt>
                <c:pt idx="13">
                  <c:v>25095.147320941756</c:v>
                </c:pt>
                <c:pt idx="14">
                  <c:v>25312.251402681693</c:v>
                </c:pt>
                <c:pt idx="15">
                  <c:v>25518.01647164052</c:v>
                </c:pt>
                <c:pt idx="16">
                  <c:v>25713.355480356568</c:v>
                </c:pt>
                <c:pt idx="17">
                  <c:v>25899.076365386849</c:v>
                </c:pt>
                <c:pt idx="18">
                  <c:v>26075.898905712318</c:v>
                </c:pt>
                <c:pt idx="19">
                  <c:v>26244.467918496866</c:v>
                </c:pt>
                <c:pt idx="20">
                  <c:v>26405.363806942634</c:v>
                </c:pt>
              </c:numCache>
            </c:numRef>
          </c:yVal>
          <c:smooth val="1"/>
        </c:ser>
        <c:axId val="99229056"/>
        <c:axId val="99239424"/>
      </c:scatterChart>
      <c:valAx>
        <c:axId val="99229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200" b="0">
                    <a:latin typeface="Symbol" pitchFamily="18" charset="2"/>
                  </a:rPr>
                  <a:t>Q</a:t>
                </a:r>
                <a:r>
                  <a:rPr lang="en-US" sz="1200" b="0" baseline="0"/>
                  <a:t> (days)</a:t>
                </a:r>
                <a:endParaRPr lang="en-US" sz="1200" b="0"/>
              </a:p>
            </c:rich>
          </c:tx>
          <c:layout/>
        </c:title>
        <c:numFmt formatCode="General" sourceLinked="1"/>
        <c:tickLblPos val="nextTo"/>
        <c:crossAx val="99239424"/>
        <c:crosses val="autoZero"/>
        <c:crossBetween val="midCat"/>
      </c:valAx>
      <c:valAx>
        <c:axId val="9923942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200" b="0"/>
                  <a:t>V (m</a:t>
                </a:r>
                <a:r>
                  <a:rPr lang="en-US" sz="1200" b="0" baseline="30000"/>
                  <a:t>3</a:t>
                </a:r>
                <a:r>
                  <a:rPr lang="en-US" sz="1200" b="0"/>
                  <a:t>) and VRO (kg-O</a:t>
                </a:r>
                <a:r>
                  <a:rPr lang="en-US" sz="1200" b="0" baseline="-25000"/>
                  <a:t>2</a:t>
                </a:r>
                <a:r>
                  <a:rPr lang="en-US" sz="1200" b="0"/>
                  <a:t>/d)</a:t>
                </a:r>
              </a:p>
            </c:rich>
          </c:tx>
          <c:layout>
            <c:manualLayout>
              <c:xMode val="edge"/>
              <c:yMode val="edge"/>
              <c:x val="2.578981302385559E-3"/>
              <c:y val="0.28069899958157402"/>
            </c:manualLayout>
          </c:layout>
        </c:title>
        <c:numFmt formatCode="0" sourceLinked="1"/>
        <c:tickLblPos val="nextTo"/>
        <c:crossAx val="9922905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19243038527340758"/>
          <c:y val="0.22897380946647727"/>
          <c:w val="0.13256955380577429"/>
          <c:h val="0.16743438320209991"/>
        </c:manualLayout>
      </c:layout>
      <c:spPr>
        <a:solidFill>
          <a:sysClr val="window" lastClr="FFFFFF"/>
        </a:solidFill>
      </c:spPr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4</xdr:row>
      <xdr:rowOff>161925</xdr:rowOff>
    </xdr:from>
    <xdr:to>
      <xdr:col>9</xdr:col>
      <xdr:colOff>200025</xdr:colOff>
      <xdr:row>22</xdr:row>
      <xdr:rowOff>19051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600075</xdr:colOff>
      <xdr:row>22</xdr:row>
      <xdr:rowOff>76199</xdr:rowOff>
    </xdr:from>
    <xdr:to>
      <xdr:col>9</xdr:col>
      <xdr:colOff>200025</xdr:colOff>
      <xdr:row>39</xdr:row>
      <xdr:rowOff>85725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371475</xdr:colOff>
      <xdr:row>4</xdr:row>
      <xdr:rowOff>161925</xdr:rowOff>
    </xdr:from>
    <xdr:to>
      <xdr:col>17</xdr:col>
      <xdr:colOff>409575</xdr:colOff>
      <xdr:row>22</xdr:row>
      <xdr:rowOff>9524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352424</xdr:colOff>
      <xdr:row>22</xdr:row>
      <xdr:rowOff>85725</xdr:rowOff>
    </xdr:from>
    <xdr:to>
      <xdr:col>17</xdr:col>
      <xdr:colOff>400049</xdr:colOff>
      <xdr:row>39</xdr:row>
      <xdr:rowOff>133350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0"/>
  <sheetViews>
    <sheetView tabSelected="1" workbookViewId="0">
      <selection activeCell="M7" sqref="M7"/>
    </sheetView>
  </sheetViews>
  <sheetFormatPr defaultRowHeight="15"/>
  <cols>
    <col min="2" max="2" width="10.42578125" customWidth="1"/>
    <col min="3" max="4" width="12.7109375" customWidth="1"/>
    <col min="5" max="5" width="13" customWidth="1"/>
    <col min="6" max="6" width="16.85546875" customWidth="1"/>
    <col min="7" max="7" width="10.28515625" customWidth="1"/>
    <col min="9" max="9" width="12" customWidth="1"/>
    <col min="10" max="10" width="9.5703125" customWidth="1"/>
    <col min="11" max="11" width="10" customWidth="1"/>
    <col min="12" max="12" width="10.42578125" customWidth="1"/>
    <col min="14" max="14" width="13.140625" customWidth="1"/>
    <col min="15" max="16" width="11.140625" customWidth="1"/>
    <col min="18" max="18" width="12.85546875" customWidth="1"/>
    <col min="19" max="19" width="10.5703125" customWidth="1"/>
    <col min="20" max="20" width="12.28515625" customWidth="1"/>
    <col min="21" max="21" width="14.140625" customWidth="1"/>
    <col min="22" max="22" width="10.5703125" customWidth="1"/>
  </cols>
  <sheetData>
    <row r="1" spans="1:22">
      <c r="A1" t="s">
        <v>23</v>
      </c>
    </row>
    <row r="3" spans="1:22">
      <c r="A3" t="s">
        <v>24</v>
      </c>
    </row>
    <row r="4" spans="1:22">
      <c r="A4" t="s">
        <v>25</v>
      </c>
    </row>
    <row r="5" spans="1:22" ht="65.25">
      <c r="A5" s="1" t="s">
        <v>0</v>
      </c>
      <c r="B5" s="2" t="s">
        <v>2</v>
      </c>
      <c r="C5" s="2" t="s">
        <v>10</v>
      </c>
      <c r="D5" s="2" t="s">
        <v>11</v>
      </c>
      <c r="E5" s="2" t="s">
        <v>12</v>
      </c>
      <c r="F5" s="2" t="s">
        <v>1</v>
      </c>
      <c r="G5" s="2" t="s">
        <v>13</v>
      </c>
      <c r="H5" s="2" t="s">
        <v>14</v>
      </c>
      <c r="I5" s="2" t="s">
        <v>18</v>
      </c>
      <c r="J5" s="2" t="s">
        <v>3</v>
      </c>
      <c r="K5" s="2" t="s">
        <v>4</v>
      </c>
      <c r="L5" s="2" t="s">
        <v>5</v>
      </c>
      <c r="M5" s="2" t="s">
        <v>6</v>
      </c>
      <c r="N5" s="2" t="s">
        <v>34</v>
      </c>
      <c r="O5" s="2" t="s">
        <v>16</v>
      </c>
      <c r="P5" s="2" t="s">
        <v>8</v>
      </c>
      <c r="Q5" s="2" t="s">
        <v>7</v>
      </c>
      <c r="R5" s="2" t="s">
        <v>9</v>
      </c>
      <c r="S5" s="2" t="s">
        <v>15</v>
      </c>
      <c r="T5" s="2" t="s">
        <v>17</v>
      </c>
      <c r="U5" s="2" t="s">
        <v>19</v>
      </c>
      <c r="V5" s="2" t="s">
        <v>33</v>
      </c>
    </row>
    <row r="6" spans="1:22">
      <c r="A6" s="1"/>
      <c r="B6" s="2" t="s">
        <v>29</v>
      </c>
      <c r="C6" s="2" t="s">
        <v>30</v>
      </c>
      <c r="D6" s="2" t="s">
        <v>31</v>
      </c>
      <c r="E6" s="2" t="s">
        <v>32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2">
      <c r="A7" s="9">
        <v>0.5</v>
      </c>
      <c r="B7" s="10">
        <f>25*(1+0.05*A7)/(4*A7-(1+0.05*A7))</f>
        <v>26.282051282051277</v>
      </c>
      <c r="C7" s="11">
        <f>0.64*A7*(250-B7)/(1+0.05*A7)</f>
        <v>69.843652282676686</v>
      </c>
      <c r="D7" s="11">
        <f>0.2*0.05*A7^2*0.64*(250-B7)/(1+0.05*A7)</f>
        <v>0.34921826141338347</v>
      </c>
      <c r="E7" s="11">
        <f>C7+D7</f>
        <v>70.19287054409007</v>
      </c>
      <c r="F7" s="12">
        <f>0.64*(1+0.05*A7*0.2)/(1+0.05*A7)</f>
        <v>0.62751219512195122</v>
      </c>
      <c r="G7" s="11">
        <f>F7*86400*(250-B7)*0.001/1.42</f>
        <v>8541.780302830115</v>
      </c>
      <c r="H7" s="10">
        <f>0.09*F7*(250-B7)</f>
        <v>12.634716697936211</v>
      </c>
      <c r="I7" s="12">
        <f>(1/1200)*((250-B7)*(1-F7))</f>
        <v>6.9443506358140505E-2</v>
      </c>
      <c r="J7" s="11">
        <f>E7/I7/1.42</f>
        <v>711.82464087827134</v>
      </c>
      <c r="K7" s="11">
        <f>C7/I7/1.42</f>
        <v>708.28322475449886</v>
      </c>
      <c r="L7" s="11">
        <f>D7/I7/1.42</f>
        <v>3.5414161237724948</v>
      </c>
      <c r="M7" s="11">
        <f>I7*86400</f>
        <v>5999.9189493433396</v>
      </c>
      <c r="N7" s="11">
        <f>(E7/1.42/2500)*86400</f>
        <v>1708.3560605660232</v>
      </c>
      <c r="O7" s="11">
        <f>(86400/M7)*((250-B7)*(1-F7))</f>
        <v>1200</v>
      </c>
      <c r="P7" s="12">
        <f>N7/86400</f>
        <v>1.9772639589884528E-2</v>
      </c>
      <c r="Q7" s="9"/>
    </row>
    <row r="8" spans="1:22">
      <c r="A8" s="9">
        <v>1</v>
      </c>
      <c r="B8" s="10">
        <f t="shared" ref="B8:B32" si="0">25*(1+0.05*A8)/(4*A8-(1+0.05*A8))</f>
        <v>8.898305084745763</v>
      </c>
      <c r="C8" s="11">
        <f t="shared" ref="C8:C32" si="1">0.64*A8*(250-B8)/(1+0.05*A8)</f>
        <v>146.95722356739304</v>
      </c>
      <c r="D8" s="11">
        <f t="shared" ref="D8:D32" si="2">0.2*0.05*A8^2*0.64*(250-B8)/(1+0.05*A8)</f>
        <v>1.4695722356739309</v>
      </c>
      <c r="E8" s="11">
        <f t="shared" ref="E8:E32" si="3">C8+D8</f>
        <v>148.42679580306697</v>
      </c>
      <c r="F8" s="12">
        <f t="shared" ref="F8:F32" si="4">0.64*(1+0.05*A8*0.2)/(1+0.05*A8)</f>
        <v>0.61561904761904762</v>
      </c>
      <c r="G8" s="11">
        <f t="shared" ref="G8:G32" si="5">F8*86400*(250-B8)*0.001/1.42</f>
        <v>9031.0388432288655</v>
      </c>
      <c r="H8" s="10">
        <f t="shared" ref="H8:H32" si="6">0.09*F8*(250-B8)</f>
        <v>13.358411622276028</v>
      </c>
      <c r="I8" s="12">
        <f t="shared" ref="I8:I32" si="7">(1/1200)*((250-B8)*(1-F8))</f>
        <v>7.7229082593489373E-2</v>
      </c>
      <c r="J8" s="11">
        <f t="shared" ref="J8:J32" si="8">E8/I8/1.42</f>
        <v>1353.4527282625384</v>
      </c>
      <c r="K8" s="11">
        <f t="shared" ref="K8:K32" si="9">C8/I8/1.42</f>
        <v>1340.0522062005332</v>
      </c>
      <c r="L8" s="11">
        <f t="shared" ref="L8:L32" si="10">D8/I8/1.42</f>
        <v>13.400522062005336</v>
      </c>
      <c r="M8" s="11">
        <f t="shared" ref="M8:M32" si="11">I8*86400</f>
        <v>6672.5927360774822</v>
      </c>
      <c r="N8" s="11">
        <f t="shared" ref="N8:N32" si="12">(E8/1.42/2500)*86400</f>
        <v>3612.4155372915457</v>
      </c>
      <c r="O8" s="11">
        <f>(86400/M8)*((250-B8)*(1-F8))</f>
        <v>1200</v>
      </c>
      <c r="P8" s="12">
        <f t="shared" ref="P8:P32" si="13">N8/86400</f>
        <v>4.1810365014948447E-2</v>
      </c>
      <c r="Q8" s="9"/>
    </row>
    <row r="9" spans="1:22">
      <c r="A9" s="9">
        <v>2</v>
      </c>
      <c r="B9" s="10">
        <f t="shared" si="0"/>
        <v>3.985507246376812</v>
      </c>
      <c r="C9" s="11">
        <f t="shared" si="1"/>
        <v>286.27140974967062</v>
      </c>
      <c r="D9" s="11">
        <f t="shared" si="2"/>
        <v>5.7254281949934134</v>
      </c>
      <c r="E9" s="11">
        <f t="shared" si="3"/>
        <v>291.99683794466404</v>
      </c>
      <c r="F9" s="12">
        <f t="shared" si="4"/>
        <v>0.59345454545454546</v>
      </c>
      <c r="G9" s="11">
        <f t="shared" si="5"/>
        <v>8883.2840839503442</v>
      </c>
      <c r="H9" s="10">
        <f t="shared" si="6"/>
        <v>13.139857707509881</v>
      </c>
      <c r="I9" s="12">
        <f t="shared" si="7"/>
        <v>8.334672815107598E-2</v>
      </c>
      <c r="J9" s="11">
        <f t="shared" si="8"/>
        <v>2467.182342714606</v>
      </c>
      <c r="K9" s="11">
        <f t="shared" si="9"/>
        <v>2418.8062183476532</v>
      </c>
      <c r="L9" s="11">
        <f t="shared" si="10"/>
        <v>48.376124366953071</v>
      </c>
      <c r="M9" s="11">
        <f t="shared" si="11"/>
        <v>7201.1573122529644</v>
      </c>
      <c r="N9" s="11">
        <f t="shared" si="12"/>
        <v>7106.6272671602746</v>
      </c>
      <c r="O9" s="11">
        <f>(86400/M9)*((250-B9)*(1-F9))</f>
        <v>1200</v>
      </c>
      <c r="P9" s="12">
        <f t="shared" si="13"/>
        <v>8.2252630406947622E-2</v>
      </c>
      <c r="Q9" s="9"/>
    </row>
    <row r="10" spans="1:22">
      <c r="A10" s="9">
        <v>3</v>
      </c>
      <c r="B10" s="10">
        <f t="shared" si="0"/>
        <v>2.649769585253456</v>
      </c>
      <c r="C10" s="11">
        <f t="shared" si="1"/>
        <v>412.96734121418552</v>
      </c>
      <c r="D10" s="11">
        <f t="shared" si="2"/>
        <v>12.389020236425571</v>
      </c>
      <c r="E10" s="11">
        <f t="shared" si="3"/>
        <v>425.35636145061108</v>
      </c>
      <c r="F10" s="12">
        <f t="shared" si="4"/>
        <v>0.5732173913043479</v>
      </c>
      <c r="G10" s="11">
        <f t="shared" si="5"/>
        <v>8626.9459223785925</v>
      </c>
      <c r="H10" s="10">
        <f t="shared" si="6"/>
        <v>12.760690843518335</v>
      </c>
      <c r="I10" s="12">
        <f t="shared" si="7"/>
        <v>8.7970647164896804E-2</v>
      </c>
      <c r="J10" s="11">
        <f t="shared" si="8"/>
        <v>3405.0759323668176</v>
      </c>
      <c r="K10" s="11">
        <f t="shared" si="9"/>
        <v>3305.8989634629297</v>
      </c>
      <c r="L10" s="11">
        <f t="shared" si="10"/>
        <v>99.176968903887925</v>
      </c>
      <c r="M10" s="11">
        <f t="shared" si="11"/>
        <v>7600.6639150470837</v>
      </c>
      <c r="N10" s="11">
        <f t="shared" si="12"/>
        <v>10352.335106854311</v>
      </c>
      <c r="O10" s="11">
        <f t="shared" ref="O10:O32" si="14">(86400/N10)*((250-B10)*(1-F10))</f>
        <v>881.03762135922295</v>
      </c>
      <c r="P10" s="12">
        <f t="shared" si="13"/>
        <v>0.11981869336636934</v>
      </c>
      <c r="Q10" s="9">
        <f>3*(1+0.05*A7)/(1*A7-(1+0.05*A7))</f>
        <v>-5.8571428571428577</v>
      </c>
    </row>
    <row r="11" spans="1:22">
      <c r="A11" s="9">
        <v>4</v>
      </c>
      <c r="B11" s="10">
        <f t="shared" si="0"/>
        <v>2.0270270270270268</v>
      </c>
      <c r="C11" s="11">
        <f t="shared" si="1"/>
        <v>529.00900900900911</v>
      </c>
      <c r="D11" s="11">
        <f t="shared" si="2"/>
        <v>21.160360360360364</v>
      </c>
      <c r="E11" s="11">
        <f t="shared" si="3"/>
        <v>550.16936936936952</v>
      </c>
      <c r="F11" s="12">
        <f t="shared" si="4"/>
        <v>0.55466666666666675</v>
      </c>
      <c r="G11" s="11">
        <f t="shared" si="5"/>
        <v>8368.773505900268</v>
      </c>
      <c r="H11" s="10">
        <f t="shared" si="6"/>
        <v>12.378810810810812</v>
      </c>
      <c r="I11" s="12">
        <f t="shared" si="7"/>
        <v>9.2025525525525509E-2</v>
      </c>
      <c r="J11" s="11">
        <f t="shared" si="8"/>
        <v>4210.1712068820125</v>
      </c>
      <c r="K11" s="11">
        <f t="shared" si="9"/>
        <v>4048.2415450788581</v>
      </c>
      <c r="L11" s="11">
        <f t="shared" si="10"/>
        <v>161.92966180315432</v>
      </c>
      <c r="M11" s="11">
        <f t="shared" si="11"/>
        <v>7951.0054054054044</v>
      </c>
      <c r="N11" s="11">
        <f t="shared" si="12"/>
        <v>13390.037609440429</v>
      </c>
      <c r="O11" s="11">
        <f t="shared" si="14"/>
        <v>712.56009615384585</v>
      </c>
      <c r="P11" s="12">
        <f t="shared" si="13"/>
        <v>0.15497728714630127</v>
      </c>
      <c r="Q11" s="9">
        <f>3*(1+0.05*A8)/(1*A8-(1+0.05*A8))</f>
        <v>-62.99999999999995</v>
      </c>
    </row>
    <row r="12" spans="1:22">
      <c r="A12" s="9">
        <v>5</v>
      </c>
      <c r="B12" s="10">
        <f t="shared" si="0"/>
        <v>1.6666666666666667</v>
      </c>
      <c r="C12" s="11">
        <f t="shared" si="1"/>
        <v>635.73333333333335</v>
      </c>
      <c r="D12" s="11">
        <f t="shared" si="2"/>
        <v>31.786666666666672</v>
      </c>
      <c r="E12" s="11">
        <f t="shared" si="3"/>
        <v>667.52</v>
      </c>
      <c r="F12" s="12">
        <f t="shared" si="4"/>
        <v>0.53760000000000008</v>
      </c>
      <c r="G12" s="11">
        <f t="shared" si="5"/>
        <v>8123.0602816901428</v>
      </c>
      <c r="H12" s="10">
        <f t="shared" si="6"/>
        <v>12.015360000000001</v>
      </c>
      <c r="I12" s="12">
        <f t="shared" si="7"/>
        <v>9.5691111111111116E-2</v>
      </c>
      <c r="J12" s="11">
        <f t="shared" si="8"/>
        <v>4912.520103318875</v>
      </c>
      <c r="K12" s="11">
        <f t="shared" si="9"/>
        <v>4678.5905745894052</v>
      </c>
      <c r="L12" s="11">
        <f t="shared" si="10"/>
        <v>233.92952872947029</v>
      </c>
      <c r="M12" s="11">
        <f t="shared" si="11"/>
        <v>8267.7119999999995</v>
      </c>
      <c r="N12" s="11">
        <f t="shared" si="12"/>
        <v>16246.120563380282</v>
      </c>
      <c r="O12" s="11">
        <f t="shared" si="14"/>
        <v>610.68452380952374</v>
      </c>
      <c r="P12" s="12">
        <f t="shared" si="13"/>
        <v>0.18803380281690141</v>
      </c>
      <c r="Q12" s="10">
        <f t="shared" ref="Q12:Q32" si="15">3*(1+0.05*A9)/(1*A9-(1+0.05*A9))</f>
        <v>3.6666666666666674</v>
      </c>
      <c r="R12" s="11">
        <f>A7*0.12*((40-H12)-Q12)/(1+0.05*A7)</f>
        <v>1.4234911219512196</v>
      </c>
      <c r="S12" s="11">
        <f>R12/1.42</f>
        <v>1.002458536585366</v>
      </c>
      <c r="T12" s="11">
        <f>(4.57/P12)*(40-H12-Q12)</f>
        <v>591.02744542984976</v>
      </c>
      <c r="U12" s="11">
        <f>O12+T12</f>
        <v>1201.7119692393735</v>
      </c>
      <c r="V12" s="37">
        <f>N12*U12/1000</f>
        <v>19523.157534720001</v>
      </c>
    </row>
    <row r="13" spans="1:22">
      <c r="A13" s="13">
        <v>6</v>
      </c>
      <c r="B13" s="14">
        <f t="shared" si="0"/>
        <v>1.4317180616740088</v>
      </c>
      <c r="C13" s="15">
        <f t="shared" si="1"/>
        <v>734.23246357167056</v>
      </c>
      <c r="D13" s="15">
        <f t="shared" si="2"/>
        <v>44.053947814300251</v>
      </c>
      <c r="E13" s="15">
        <f t="shared" si="3"/>
        <v>778.28641138597084</v>
      </c>
      <c r="F13" s="16">
        <f t="shared" si="4"/>
        <v>0.52184615384615385</v>
      </c>
      <c r="G13" s="15">
        <f t="shared" si="5"/>
        <v>7892.4819182802685</v>
      </c>
      <c r="H13" s="14">
        <f t="shared" si="6"/>
        <v>11.674296170789562</v>
      </c>
      <c r="I13" s="16">
        <f t="shared" si="7"/>
        <v>9.9044900033886829E-2</v>
      </c>
      <c r="J13" s="15">
        <f t="shared" si="8"/>
        <v>5533.7429985317303</v>
      </c>
      <c r="K13" s="15">
        <f t="shared" si="9"/>
        <v>5220.5122627657838</v>
      </c>
      <c r="L13" s="15">
        <f t="shared" si="10"/>
        <v>313.23073576594709</v>
      </c>
      <c r="M13" s="15">
        <f t="shared" si="11"/>
        <v>8557.4793629278229</v>
      </c>
      <c r="N13" s="15">
        <f t="shared" si="12"/>
        <v>18941.956603872644</v>
      </c>
      <c r="O13" s="15">
        <f t="shared" si="14"/>
        <v>542.12853773584902</v>
      </c>
      <c r="P13" s="17">
        <f t="shared" si="13"/>
        <v>0.21923560884111856</v>
      </c>
      <c r="Q13" s="14">
        <f t="shared" si="15"/>
        <v>1.8648648648648647</v>
      </c>
      <c r="R13" s="15">
        <f t="shared" ref="R13:R32" si="16">A8*0.12*((40-H13)-Q13)/(1+0.05*A8)</f>
        <v>3.0240958816394943</v>
      </c>
      <c r="S13" s="15">
        <f t="shared" ref="S13:S32" si="17">R13/1.42</f>
        <v>2.1296449870700664</v>
      </c>
      <c r="T13" s="15">
        <f t="shared" ref="T13:T32" si="18">(4.57/P13)*(40-H13-Q13)</f>
        <v>551.58025973187216</v>
      </c>
      <c r="U13" s="15">
        <f t="shared" ref="U13:U32" si="19">O13+T13</f>
        <v>1093.7087974677211</v>
      </c>
      <c r="V13" s="37">
        <f t="shared" ref="V13:V32" si="20">N13*U13/1000</f>
        <v>20716.984578907308</v>
      </c>
    </row>
    <row r="14" spans="1:22" ht="15.75" thickBot="1">
      <c r="A14" s="31">
        <v>7</v>
      </c>
      <c r="B14" s="24">
        <f t="shared" si="0"/>
        <v>1.2664165103189493</v>
      </c>
      <c r="C14" s="15">
        <f t="shared" si="1"/>
        <v>825.42700298797854</v>
      </c>
      <c r="D14" s="15">
        <f t="shared" si="2"/>
        <v>57.779890209158509</v>
      </c>
      <c r="E14" s="15">
        <f t="shared" si="3"/>
        <v>883.20689319713711</v>
      </c>
      <c r="F14" s="16">
        <f t="shared" si="4"/>
        <v>0.5072592592592593</v>
      </c>
      <c r="G14" s="20">
        <f t="shared" si="5"/>
        <v>7676.9693734640505</v>
      </c>
      <c r="H14" s="24">
        <f t="shared" si="6"/>
        <v>11.355517198248906</v>
      </c>
      <c r="I14" s="16">
        <f t="shared" si="7"/>
        <v>0.10213430847983693</v>
      </c>
      <c r="J14" s="15">
        <f t="shared" si="8"/>
        <v>6089.7919083956549</v>
      </c>
      <c r="K14" s="15">
        <f t="shared" si="9"/>
        <v>5691.3943069118259</v>
      </c>
      <c r="L14" s="15">
        <f t="shared" si="10"/>
        <v>398.39760148382794</v>
      </c>
      <c r="M14" s="15">
        <f t="shared" si="11"/>
        <v>8824.4042526579105</v>
      </c>
      <c r="N14" s="20">
        <f t="shared" si="12"/>
        <v>21495.514245699334</v>
      </c>
      <c r="O14" s="20">
        <f t="shared" si="14"/>
        <v>492.62767022696926</v>
      </c>
      <c r="P14" s="23">
        <f t="shared" si="13"/>
        <v>0.24879067414003858</v>
      </c>
      <c r="Q14" s="24">
        <f t="shared" si="15"/>
        <v>1.2857142857142856</v>
      </c>
      <c r="R14" s="15">
        <f t="shared" si="16"/>
        <v>5.9691858580443942</v>
      </c>
      <c r="S14" s="15">
        <f t="shared" si="17"/>
        <v>4.2036520127073205</v>
      </c>
      <c r="T14" s="15">
        <f t="shared" si="18"/>
        <v>502.54927179429541</v>
      </c>
      <c r="U14" s="20">
        <f t="shared" si="19"/>
        <v>995.17694202126472</v>
      </c>
      <c r="V14" s="37">
        <f t="shared" si="20"/>
        <v>21391.840134209597</v>
      </c>
    </row>
    <row r="15" spans="1:22" ht="15.75" thickBot="1">
      <c r="A15" s="33">
        <v>8</v>
      </c>
      <c r="B15" s="34">
        <f t="shared" si="0"/>
        <v>1.1437908496732025</v>
      </c>
      <c r="C15" s="22">
        <f t="shared" si="1"/>
        <v>910.10270774976664</v>
      </c>
      <c r="D15" s="18">
        <f t="shared" si="2"/>
        <v>72.808216619981351</v>
      </c>
      <c r="E15" s="18">
        <f t="shared" si="3"/>
        <v>982.91092436974805</v>
      </c>
      <c r="F15" s="35">
        <f t="shared" si="4"/>
        <v>0.49371428571428577</v>
      </c>
      <c r="G15" s="3">
        <f t="shared" si="5"/>
        <v>7475.6605515445635</v>
      </c>
      <c r="H15" s="34">
        <f t="shared" si="6"/>
        <v>11.057747899159665</v>
      </c>
      <c r="I15" s="36">
        <f t="shared" si="7"/>
        <v>0.10499361967009026</v>
      </c>
      <c r="J15" s="18">
        <f t="shared" si="8"/>
        <v>6592.6938606810172</v>
      </c>
      <c r="K15" s="18">
        <f t="shared" si="9"/>
        <v>6104.3461672972389</v>
      </c>
      <c r="L15" s="18">
        <f t="shared" si="10"/>
        <v>488.34769338377919</v>
      </c>
      <c r="M15" s="19">
        <f t="shared" si="11"/>
        <v>9071.4487394957978</v>
      </c>
      <c r="N15" s="27">
        <f t="shared" si="12"/>
        <v>23922.113764942602</v>
      </c>
      <c r="O15" s="28">
        <f t="shared" si="14"/>
        <v>455.04918981481467</v>
      </c>
      <c r="P15" s="29">
        <f t="shared" si="13"/>
        <v>0.2768763167238727</v>
      </c>
      <c r="Q15" s="30">
        <f t="shared" si="15"/>
        <v>1</v>
      </c>
      <c r="R15" s="22">
        <f t="shared" si="16"/>
        <v>8.7471397880891484</v>
      </c>
      <c r="S15" s="18">
        <f t="shared" si="17"/>
        <v>6.1599575972458798</v>
      </c>
      <c r="T15" s="19">
        <f t="shared" si="18"/>
        <v>461.20265399294152</v>
      </c>
      <c r="U15" s="3">
        <f t="shared" si="19"/>
        <v>916.25184380775613</v>
      </c>
      <c r="V15" s="37">
        <f t="shared" si="20"/>
        <v>21918.680844907562</v>
      </c>
    </row>
    <row r="16" spans="1:22">
      <c r="A16" s="32">
        <v>9</v>
      </c>
      <c r="B16" s="26">
        <f t="shared" si="0"/>
        <v>1.0492040520984083</v>
      </c>
      <c r="C16" s="15">
        <f t="shared" si="1"/>
        <v>988.93557562752619</v>
      </c>
      <c r="D16" s="15">
        <f t="shared" si="2"/>
        <v>89.004201806477369</v>
      </c>
      <c r="E16" s="15">
        <f t="shared" si="3"/>
        <v>1077.9397774340036</v>
      </c>
      <c r="F16" s="16">
        <f t="shared" si="4"/>
        <v>0.48110344827586216</v>
      </c>
      <c r="G16" s="21">
        <f t="shared" si="5"/>
        <v>7287.4801854693214</v>
      </c>
      <c r="H16" s="26">
        <f t="shared" si="6"/>
        <v>10.779397774340037</v>
      </c>
      <c r="I16" s="16">
        <f t="shared" si="7"/>
        <v>0.10764975797195467</v>
      </c>
      <c r="J16" s="15">
        <f t="shared" si="8"/>
        <v>7051.6881191454959</v>
      </c>
      <c r="K16" s="15">
        <f t="shared" si="9"/>
        <v>6469.4386414178862</v>
      </c>
      <c r="L16" s="15">
        <f t="shared" si="10"/>
        <v>582.24947772760981</v>
      </c>
      <c r="M16" s="15">
        <f t="shared" si="11"/>
        <v>9300.9390887768841</v>
      </c>
      <c r="N16" s="21">
        <f t="shared" si="12"/>
        <v>26234.928667689557</v>
      </c>
      <c r="O16" s="21">
        <f t="shared" si="14"/>
        <v>425.43004587155946</v>
      </c>
      <c r="P16" s="25">
        <f t="shared" si="13"/>
        <v>0.30364500772788838</v>
      </c>
      <c r="Q16" s="26">
        <f t="shared" si="15"/>
        <v>0.82978723404255328</v>
      </c>
      <c r="R16" s="15">
        <f t="shared" si="16"/>
        <v>11.356325996646966</v>
      </c>
      <c r="S16" s="15">
        <f t="shared" si="17"/>
        <v>7.997412673695047</v>
      </c>
      <c r="T16" s="15">
        <f t="shared" si="18"/>
        <v>427.29510187753044</v>
      </c>
      <c r="U16" s="21">
        <f t="shared" si="19"/>
        <v>852.72514774908996</v>
      </c>
      <c r="V16" s="37">
        <f t="shared" si="20"/>
        <v>22371.183424342413</v>
      </c>
    </row>
    <row r="17" spans="1:22">
      <c r="A17" s="13">
        <v>10</v>
      </c>
      <c r="B17" s="14">
        <f t="shared" si="0"/>
        <v>0.97402597402597402</v>
      </c>
      <c r="C17" s="15">
        <f t="shared" si="1"/>
        <v>1062.5108225108227</v>
      </c>
      <c r="D17" s="15">
        <f t="shared" si="2"/>
        <v>106.25108225108227</v>
      </c>
      <c r="E17" s="15">
        <f t="shared" si="3"/>
        <v>1168.761904761905</v>
      </c>
      <c r="F17" s="16">
        <f t="shared" si="4"/>
        <v>0.46933333333333338</v>
      </c>
      <c r="G17" s="15">
        <f t="shared" si="5"/>
        <v>7111.34004024145</v>
      </c>
      <c r="H17" s="14">
        <f t="shared" si="6"/>
        <v>10.518857142857142</v>
      </c>
      <c r="I17" s="16">
        <f t="shared" si="7"/>
        <v>0.11012481962481963</v>
      </c>
      <c r="J17" s="15">
        <f t="shared" si="8"/>
        <v>7473.9896666430768</v>
      </c>
      <c r="K17" s="15">
        <f t="shared" si="9"/>
        <v>6794.5360605846145</v>
      </c>
      <c r="L17" s="15">
        <f t="shared" si="10"/>
        <v>679.45360605846145</v>
      </c>
      <c r="M17" s="15">
        <f t="shared" si="11"/>
        <v>9514.7844155844159</v>
      </c>
      <c r="N17" s="15">
        <f t="shared" si="12"/>
        <v>28445.360160965804</v>
      </c>
      <c r="O17" s="15">
        <f t="shared" si="14"/>
        <v>401.39204545454527</v>
      </c>
      <c r="P17" s="17">
        <f t="shared" si="13"/>
        <v>0.32922870556673384</v>
      </c>
      <c r="Q17" s="14">
        <f t="shared" si="15"/>
        <v>0.71681415929203551</v>
      </c>
      <c r="R17" s="15">
        <f t="shared" si="16"/>
        <v>13.806877774968394</v>
      </c>
      <c r="S17" s="15">
        <f t="shared" si="17"/>
        <v>9.7231533626537985</v>
      </c>
      <c r="T17" s="15">
        <f t="shared" si="18"/>
        <v>399.27557933593698</v>
      </c>
      <c r="U17" s="15">
        <f t="shared" si="19"/>
        <v>800.66762479048225</v>
      </c>
      <c r="V17" s="37">
        <f t="shared" si="20"/>
        <v>22775.278956390299</v>
      </c>
    </row>
    <row r="18" spans="1:22">
      <c r="A18" s="13">
        <v>11</v>
      </c>
      <c r="B18" s="14">
        <f t="shared" si="0"/>
        <v>0.91283863368669016</v>
      </c>
      <c r="C18" s="15">
        <f t="shared" si="1"/>
        <v>1131.3378167863518</v>
      </c>
      <c r="D18" s="15">
        <f t="shared" si="2"/>
        <v>124.44715984649874</v>
      </c>
      <c r="E18" s="15">
        <f t="shared" si="3"/>
        <v>1255.7849766328507</v>
      </c>
      <c r="F18" s="16">
        <f t="shared" si="4"/>
        <v>0.45832258064516129</v>
      </c>
      <c r="G18" s="15">
        <f t="shared" si="5"/>
        <v>6946.2113944352304</v>
      </c>
      <c r="H18" s="14">
        <f t="shared" si="6"/>
        <v>10.274604354268778</v>
      </c>
      <c r="I18" s="16">
        <f t="shared" si="7"/>
        <v>0.11243740896943906</v>
      </c>
      <c r="J18" s="15">
        <f t="shared" si="8"/>
        <v>7865.3148045011367</v>
      </c>
      <c r="K18" s="15">
        <f t="shared" si="9"/>
        <v>7085.8691932442671</v>
      </c>
      <c r="L18" s="15">
        <f t="shared" si="10"/>
        <v>779.4456112568696</v>
      </c>
      <c r="M18" s="15">
        <f t="shared" si="11"/>
        <v>9714.5921349595355</v>
      </c>
      <c r="N18" s="15">
        <f t="shared" si="12"/>
        <v>30563.330135515018</v>
      </c>
      <c r="O18" s="15">
        <f t="shared" si="14"/>
        <v>381.4214782964782</v>
      </c>
      <c r="P18" s="17">
        <f t="shared" si="13"/>
        <v>0.35374224693883122</v>
      </c>
      <c r="Q18" s="14">
        <f t="shared" si="15"/>
        <v>0.63636363636363624</v>
      </c>
      <c r="R18" s="15">
        <f t="shared" si="16"/>
        <v>16.110848497495894</v>
      </c>
      <c r="S18" s="15">
        <f t="shared" si="17"/>
        <v>11.345667955983025</v>
      </c>
      <c r="T18" s="15">
        <f t="shared" si="18"/>
        <v>375.80152620503139</v>
      </c>
      <c r="U18" s="15">
        <f t="shared" si="19"/>
        <v>757.22300450150965</v>
      </c>
      <c r="V18" s="37">
        <f t="shared" si="20"/>
        <v>23143.256672786214</v>
      </c>
    </row>
    <row r="19" spans="1:22">
      <c r="A19" s="13">
        <v>12</v>
      </c>
      <c r="B19" s="14">
        <f t="shared" si="0"/>
        <v>0.86206896551724144</v>
      </c>
      <c r="C19" s="15">
        <f t="shared" si="1"/>
        <v>1195.862068965517</v>
      </c>
      <c r="D19" s="15">
        <f t="shared" si="2"/>
        <v>143.50344827586213</v>
      </c>
      <c r="E19" s="15">
        <f t="shared" si="3"/>
        <v>1339.3655172413792</v>
      </c>
      <c r="F19" s="16">
        <f t="shared" si="4"/>
        <v>0.44800000000000006</v>
      </c>
      <c r="G19" s="15">
        <f t="shared" si="5"/>
        <v>6791.1491015055863</v>
      </c>
      <c r="H19" s="14">
        <f t="shared" si="6"/>
        <v>10.045241379310346</v>
      </c>
      <c r="I19" s="16">
        <f t="shared" si="7"/>
        <v>0.11460344827586205</v>
      </c>
      <c r="J19" s="15">
        <f t="shared" si="8"/>
        <v>8230.2510716472752</v>
      </c>
      <c r="K19" s="15">
        <f t="shared" si="9"/>
        <v>7348.4384568279247</v>
      </c>
      <c r="L19" s="15">
        <f t="shared" si="10"/>
        <v>881.81261481935144</v>
      </c>
      <c r="M19" s="15">
        <f t="shared" si="11"/>
        <v>9901.7379310344804</v>
      </c>
      <c r="N19" s="15">
        <f t="shared" si="12"/>
        <v>32597.515687226809</v>
      </c>
      <c r="O19" s="15">
        <f t="shared" si="14"/>
        <v>364.50892857142856</v>
      </c>
      <c r="P19" s="17">
        <f t="shared" si="13"/>
        <v>0.37728606119475472</v>
      </c>
      <c r="Q19" s="14">
        <f t="shared" si="15"/>
        <v>0.57615894039735094</v>
      </c>
      <c r="R19" s="15">
        <f t="shared" si="16"/>
        <v>18.28001757884854</v>
      </c>
      <c r="S19" s="15">
        <f t="shared" si="17"/>
        <v>12.873251816090521</v>
      </c>
      <c r="T19" s="15">
        <f t="shared" si="18"/>
        <v>355.85783401001618</v>
      </c>
      <c r="U19" s="15">
        <f t="shared" si="19"/>
        <v>720.36676258144473</v>
      </c>
      <c r="V19" s="37">
        <f t="shared" si="20"/>
        <v>23482.166843805437</v>
      </c>
    </row>
    <row r="20" spans="1:22">
      <c r="A20" s="13">
        <v>13</v>
      </c>
      <c r="B20" s="14">
        <f t="shared" si="0"/>
        <v>0.81926514399205563</v>
      </c>
      <c r="C20" s="15">
        <f t="shared" si="1"/>
        <v>1256.4749781830219</v>
      </c>
      <c r="D20" s="15">
        <f t="shared" si="2"/>
        <v>163.34174716379292</v>
      </c>
      <c r="E20" s="15">
        <f t="shared" si="3"/>
        <v>1419.8167253468148</v>
      </c>
      <c r="F20" s="16">
        <f t="shared" si="4"/>
        <v>0.43830303030303031</v>
      </c>
      <c r="G20" s="15">
        <f t="shared" si="5"/>
        <v>6645.2960492938682</v>
      </c>
      <c r="H20" s="14">
        <f t="shared" si="6"/>
        <v>9.8295004062471794</v>
      </c>
      <c r="I20" s="16">
        <f t="shared" si="7"/>
        <v>0.11663671972956979</v>
      </c>
      <c r="J20" s="15">
        <f t="shared" si="8"/>
        <v>8572.5227497918022</v>
      </c>
      <c r="K20" s="15">
        <f t="shared" si="9"/>
        <v>7586.3033183998241</v>
      </c>
      <c r="L20" s="15">
        <f t="shared" si="10"/>
        <v>986.21943139197765</v>
      </c>
      <c r="M20" s="15">
        <f t="shared" si="11"/>
        <v>10077.412584634831</v>
      </c>
      <c r="N20" s="15">
        <f t="shared" si="12"/>
        <v>34555.539456328115</v>
      </c>
      <c r="O20" s="15">
        <f t="shared" si="14"/>
        <v>349.95532675289309</v>
      </c>
      <c r="P20" s="17">
        <f t="shared" si="13"/>
        <v>0.39994837333713096</v>
      </c>
      <c r="Q20" s="14">
        <f t="shared" si="15"/>
        <v>0.52941176470588236</v>
      </c>
      <c r="R20" s="15">
        <f t="shared" si="16"/>
        <v>20.32531736848933</v>
      </c>
      <c r="S20" s="15">
        <f t="shared" si="17"/>
        <v>14.313603780626289</v>
      </c>
      <c r="T20" s="15">
        <f t="shared" si="18"/>
        <v>338.69314243856314</v>
      </c>
      <c r="U20" s="15">
        <f t="shared" si="19"/>
        <v>688.64846919145623</v>
      </c>
      <c r="V20" s="37">
        <f t="shared" si="20"/>
        <v>23796.619348685319</v>
      </c>
    </row>
    <row r="21" spans="1:22">
      <c r="A21" s="13">
        <v>14</v>
      </c>
      <c r="B21" s="14">
        <f t="shared" si="0"/>
        <v>0.7826887661141807</v>
      </c>
      <c r="C21" s="15">
        <f t="shared" si="1"/>
        <v>1313.5218286209513</v>
      </c>
      <c r="D21" s="15">
        <f t="shared" si="2"/>
        <v>183.89305600693316</v>
      </c>
      <c r="E21" s="15">
        <f t="shared" si="3"/>
        <v>1497.4148846278845</v>
      </c>
      <c r="F21" s="16">
        <f t="shared" si="4"/>
        <v>0.42917647058823533</v>
      </c>
      <c r="G21" s="15">
        <f t="shared" si="5"/>
        <v>6507.8795790668619</v>
      </c>
      <c r="H21" s="14">
        <f t="shared" si="6"/>
        <v>9.6262385440363989</v>
      </c>
      <c r="I21" s="16">
        <f t="shared" si="7"/>
        <v>0.11854925432419747</v>
      </c>
      <c r="J21" s="15">
        <f t="shared" si="8"/>
        <v>8895.1847938413666</v>
      </c>
      <c r="K21" s="15">
        <f t="shared" si="9"/>
        <v>7802.7936788082161</v>
      </c>
      <c r="L21" s="15">
        <f t="shared" si="10"/>
        <v>1092.3911150331501</v>
      </c>
      <c r="M21" s="15">
        <f t="shared" si="11"/>
        <v>10242.655573610662</v>
      </c>
      <c r="N21" s="15">
        <f t="shared" si="12"/>
        <v>36444.12564277443</v>
      </c>
      <c r="O21" s="15">
        <f t="shared" si="14"/>
        <v>337.26112155388466</v>
      </c>
      <c r="P21" s="17">
        <f t="shared" si="13"/>
        <v>0.42180700975433366</v>
      </c>
      <c r="Q21" s="14">
        <f t="shared" si="15"/>
        <v>0.49206349206349215</v>
      </c>
      <c r="R21" s="15">
        <f t="shared" si="16"/>
        <v>22.256712966215257</v>
      </c>
      <c r="S21" s="15">
        <f t="shared" si="17"/>
        <v>15.673741525503702</v>
      </c>
      <c r="T21" s="15">
        <f t="shared" si="18"/>
        <v>323.74843598392926</v>
      </c>
      <c r="U21" s="15">
        <f t="shared" si="19"/>
        <v>661.00955753781386</v>
      </c>
      <c r="V21" s="37">
        <f t="shared" si="20"/>
        <v>24089.915365982823</v>
      </c>
    </row>
    <row r="22" spans="1:22">
      <c r="A22" s="13">
        <v>15</v>
      </c>
      <c r="B22" s="14">
        <f t="shared" si="0"/>
        <v>0.75107296137339052</v>
      </c>
      <c r="C22" s="15">
        <f t="shared" si="1"/>
        <v>1367.3083997547517</v>
      </c>
      <c r="D22" s="15">
        <f t="shared" si="2"/>
        <v>205.09625996321282</v>
      </c>
      <c r="E22" s="15">
        <f t="shared" si="3"/>
        <v>1572.4046597179645</v>
      </c>
      <c r="F22" s="16">
        <f t="shared" si="4"/>
        <v>0.42057142857142854</v>
      </c>
      <c r="G22" s="15">
        <f t="shared" si="5"/>
        <v>6378.2048168841375</v>
      </c>
      <c r="H22" s="14">
        <f t="shared" si="6"/>
        <v>9.4344279583077864</v>
      </c>
      <c r="I22" s="16">
        <f t="shared" si="7"/>
        <v>0.12035162477007971</v>
      </c>
      <c r="J22" s="15">
        <f t="shared" si="8"/>
        <v>9200.7667305608811</v>
      </c>
      <c r="K22" s="15">
        <f t="shared" si="9"/>
        <v>8000.6667222268516</v>
      </c>
      <c r="L22" s="15">
        <f t="shared" si="10"/>
        <v>1200.1000083340282</v>
      </c>
      <c r="M22" s="15">
        <f t="shared" si="11"/>
        <v>10398.380380134888</v>
      </c>
      <c r="N22" s="15">
        <f t="shared" si="12"/>
        <v>38269.228901304828</v>
      </c>
      <c r="O22" s="15">
        <f t="shared" si="14"/>
        <v>326.05978260869557</v>
      </c>
      <c r="P22" s="17">
        <f t="shared" si="13"/>
        <v>0.44293089006139846</v>
      </c>
      <c r="Q22" s="14">
        <f t="shared" si="15"/>
        <v>0.46153846153846156</v>
      </c>
      <c r="R22" s="15">
        <f t="shared" si="16"/>
        <v>24.083226864123002</v>
      </c>
      <c r="S22" s="15">
        <f t="shared" si="17"/>
        <v>16.960018918396482</v>
      </c>
      <c r="T22" s="15">
        <f t="shared" si="18"/>
        <v>310.60248121830506</v>
      </c>
      <c r="U22" s="15">
        <f t="shared" si="19"/>
        <v>636.66226382700063</v>
      </c>
      <c r="V22" s="37">
        <f t="shared" si="20"/>
        <v>24364.573907218411</v>
      </c>
    </row>
    <row r="23" spans="1:22">
      <c r="A23" s="13">
        <v>16</v>
      </c>
      <c r="B23" s="14">
        <f t="shared" si="0"/>
        <v>0.72347266881028938</v>
      </c>
      <c r="C23" s="15">
        <f t="shared" si="1"/>
        <v>1418.1064665952124</v>
      </c>
      <c r="D23" s="15">
        <f t="shared" si="2"/>
        <v>226.89703465523402</v>
      </c>
      <c r="E23" s="15">
        <f t="shared" si="3"/>
        <v>1645.0035012504463</v>
      </c>
      <c r="F23" s="16">
        <f t="shared" si="4"/>
        <v>0.41244444444444445</v>
      </c>
      <c r="G23" s="15">
        <f t="shared" si="5"/>
        <v>6255.6471174312765</v>
      </c>
      <c r="H23" s="14">
        <f t="shared" si="6"/>
        <v>9.253144694533761</v>
      </c>
      <c r="I23" s="16">
        <f t="shared" si="7"/>
        <v>0.12205317375253068</v>
      </c>
      <c r="J23" s="15">
        <f t="shared" si="8"/>
        <v>9491.3809635422203</v>
      </c>
      <c r="K23" s="15">
        <f t="shared" si="9"/>
        <v>8182.2249685708794</v>
      </c>
      <c r="L23" s="15">
        <f t="shared" si="10"/>
        <v>1309.155994971341</v>
      </c>
      <c r="M23" s="15">
        <f t="shared" si="11"/>
        <v>10545.394212218651</v>
      </c>
      <c r="N23" s="15">
        <f t="shared" si="12"/>
        <v>40036.141551560162</v>
      </c>
      <c r="O23" s="15">
        <f t="shared" si="14"/>
        <v>316.07623922413796</v>
      </c>
      <c r="P23" s="17">
        <f t="shared" si="13"/>
        <v>0.46338126795787227</v>
      </c>
      <c r="Q23" s="14">
        <f t="shared" si="15"/>
        <v>0.43612334801762109</v>
      </c>
      <c r="R23" s="15">
        <f t="shared" si="16"/>
        <v>25.813010441182048</v>
      </c>
      <c r="S23" s="15">
        <f t="shared" si="17"/>
        <v>18.178176367029611</v>
      </c>
      <c r="T23" s="15">
        <f t="shared" si="18"/>
        <v>298.93319955724576</v>
      </c>
      <c r="U23" s="15">
        <f t="shared" si="19"/>
        <v>615.00943878138378</v>
      </c>
      <c r="V23" s="37">
        <f t="shared" si="20"/>
        <v>24622.604946597054</v>
      </c>
    </row>
    <row r="24" spans="1:22">
      <c r="A24" s="13">
        <v>17</v>
      </c>
      <c r="B24" s="14">
        <f t="shared" si="0"/>
        <v>0.69916855631141339</v>
      </c>
      <c r="C24" s="15">
        <f t="shared" si="1"/>
        <v>1466.1584033012605</v>
      </c>
      <c r="D24" s="15">
        <f t="shared" si="2"/>
        <v>249.24692856121433</v>
      </c>
      <c r="E24" s="15">
        <f t="shared" si="3"/>
        <v>1715.4053318624749</v>
      </c>
      <c r="F24" s="16">
        <f t="shared" si="4"/>
        <v>0.40475675675675676</v>
      </c>
      <c r="G24" s="15">
        <f t="shared" si="5"/>
        <v>6139.6446011979215</v>
      </c>
      <c r="H24" s="14">
        <f t="shared" si="6"/>
        <v>9.0815576392719244</v>
      </c>
      <c r="I24" s="16">
        <f t="shared" si="7"/>
        <v>0.12366219620981528</v>
      </c>
      <c r="J24" s="15">
        <f t="shared" si="8"/>
        <v>9768.8053493500047</v>
      </c>
      <c r="K24" s="15">
        <f t="shared" si="9"/>
        <v>8349.4062814957288</v>
      </c>
      <c r="L24" s="15">
        <f t="shared" si="10"/>
        <v>1419.3990678542743</v>
      </c>
      <c r="M24" s="15">
        <f t="shared" si="11"/>
        <v>10684.41375252804</v>
      </c>
      <c r="N24" s="15">
        <f t="shared" si="12"/>
        <v>41749.58328814587</v>
      </c>
      <c r="O24" s="15">
        <f t="shared" si="14"/>
        <v>307.09998743086982</v>
      </c>
      <c r="P24" s="17">
        <f t="shared" si="13"/>
        <v>0.48321276953872533</v>
      </c>
      <c r="Q24" s="14">
        <f t="shared" si="15"/>
        <v>0.41463414634146345</v>
      </c>
      <c r="R24" s="15">
        <f t="shared" si="16"/>
        <v>27.453427392947951</v>
      </c>
      <c r="S24" s="15">
        <f t="shared" si="17"/>
        <v>19.333399572498557</v>
      </c>
      <c r="T24" s="15">
        <f t="shared" si="18"/>
        <v>288.49072774467504</v>
      </c>
      <c r="U24" s="15">
        <f t="shared" si="19"/>
        <v>595.5907151755448</v>
      </c>
      <c r="V24" s="37">
        <f t="shared" si="20"/>
        <v>24865.66416886777</v>
      </c>
    </row>
    <row r="25" spans="1:22">
      <c r="A25" s="13">
        <v>18</v>
      </c>
      <c r="B25" s="14">
        <f t="shared" si="0"/>
        <v>0.67760342368045656</v>
      </c>
      <c r="C25" s="15">
        <f t="shared" si="1"/>
        <v>1511.6810571364217</v>
      </c>
      <c r="D25" s="15">
        <f t="shared" si="2"/>
        <v>272.10259028455596</v>
      </c>
      <c r="E25" s="15">
        <f t="shared" si="3"/>
        <v>1783.7836474209776</v>
      </c>
      <c r="F25" s="16">
        <f t="shared" si="4"/>
        <v>0.39747368421052631</v>
      </c>
      <c r="G25" s="15">
        <f t="shared" si="5"/>
        <v>6029.6912025497822</v>
      </c>
      <c r="H25" s="14">
        <f t="shared" si="6"/>
        <v>8.9189182371048865</v>
      </c>
      <c r="I25" s="16">
        <f t="shared" si="7"/>
        <v>0.12518608754410993</v>
      </c>
      <c r="J25" s="15">
        <f t="shared" si="8"/>
        <v>10034.546904065905</v>
      </c>
      <c r="K25" s="15">
        <f t="shared" si="9"/>
        <v>8503.853308530428</v>
      </c>
      <c r="L25" s="15">
        <f t="shared" si="10"/>
        <v>1530.6935955354775</v>
      </c>
      <c r="M25" s="15">
        <f t="shared" si="11"/>
        <v>10816.077963811098</v>
      </c>
      <c r="N25" s="15">
        <f t="shared" si="12"/>
        <v>43413.776658358445</v>
      </c>
      <c r="O25" s="15">
        <f t="shared" si="14"/>
        <v>298.96716101694909</v>
      </c>
      <c r="P25" s="17">
        <f t="shared" si="13"/>
        <v>0.50247426687914865</v>
      </c>
      <c r="Q25" s="14">
        <f t="shared" si="15"/>
        <v>0.39622641509433965</v>
      </c>
      <c r="R25" s="15">
        <f t="shared" si="16"/>
        <v>29.011135965193464</v>
      </c>
      <c r="S25" s="15">
        <f t="shared" si="17"/>
        <v>20.430377440277088</v>
      </c>
      <c r="T25" s="15">
        <f t="shared" si="18"/>
        <v>279.07854826160991</v>
      </c>
      <c r="U25" s="15">
        <f t="shared" si="19"/>
        <v>578.045709278559</v>
      </c>
      <c r="V25" s="37">
        <f t="shared" si="20"/>
        <v>25095.147320941756</v>
      </c>
    </row>
    <row r="26" spans="1:22">
      <c r="A26" s="13">
        <v>19</v>
      </c>
      <c r="B26" s="14">
        <f t="shared" si="0"/>
        <v>0.65833896016205273</v>
      </c>
      <c r="C26" s="15">
        <f t="shared" si="1"/>
        <v>1554.869024740733</v>
      </c>
      <c r="D26" s="15">
        <f t="shared" si="2"/>
        <v>295.4251147007393</v>
      </c>
      <c r="E26" s="15">
        <f t="shared" si="3"/>
        <v>1850.2941394414725</v>
      </c>
      <c r="F26" s="16">
        <f t="shared" si="4"/>
        <v>0.39056410256410251</v>
      </c>
      <c r="G26" s="15">
        <f t="shared" si="5"/>
        <v>5925.3303798273982</v>
      </c>
      <c r="H26" s="14">
        <f t="shared" si="6"/>
        <v>8.7645511868280241</v>
      </c>
      <c r="I26" s="16">
        <f t="shared" si="7"/>
        <v>0.1266314658033092</v>
      </c>
      <c r="J26" s="15">
        <f t="shared" si="8"/>
        <v>10289.891486244967</v>
      </c>
      <c r="K26" s="15">
        <f t="shared" si="9"/>
        <v>8646.9676354999719</v>
      </c>
      <c r="L26" s="15">
        <f t="shared" si="10"/>
        <v>1642.9238507449945</v>
      </c>
      <c r="M26" s="15">
        <f t="shared" si="11"/>
        <v>10940.958645405915</v>
      </c>
      <c r="N26" s="15">
        <f t="shared" si="12"/>
        <v>45032.510886688236</v>
      </c>
      <c r="O26" s="15">
        <f t="shared" si="14"/>
        <v>291.5482640424591</v>
      </c>
      <c r="P26" s="17">
        <f t="shared" si="13"/>
        <v>0.52120961674407684</v>
      </c>
      <c r="Q26" s="14">
        <f t="shared" si="15"/>
        <v>0.38028169014084512</v>
      </c>
      <c r="R26" s="15">
        <f t="shared" si="16"/>
        <v>30.492165156877821</v>
      </c>
      <c r="S26" s="15">
        <f t="shared" si="17"/>
        <v>21.473355744280155</v>
      </c>
      <c r="T26" s="15">
        <f t="shared" si="18"/>
        <v>270.54012286478928</v>
      </c>
      <c r="U26" s="15">
        <f t="shared" si="19"/>
        <v>562.08838690724838</v>
      </c>
      <c r="V26" s="37">
        <f t="shared" si="20"/>
        <v>25312.251402681693</v>
      </c>
    </row>
    <row r="27" spans="1:22">
      <c r="A27" s="13">
        <v>20</v>
      </c>
      <c r="B27" s="14">
        <f t="shared" si="0"/>
        <v>0.64102564102564108</v>
      </c>
      <c r="C27" s="15">
        <f t="shared" si="1"/>
        <v>1595.897435897436</v>
      </c>
      <c r="D27" s="15">
        <f t="shared" si="2"/>
        <v>319.17948717948724</v>
      </c>
      <c r="E27" s="15">
        <f t="shared" si="3"/>
        <v>1915.0769230769233</v>
      </c>
      <c r="F27" s="16">
        <f t="shared" si="4"/>
        <v>0.38400000000000001</v>
      </c>
      <c r="G27" s="15">
        <f t="shared" si="5"/>
        <v>5826.149512459373</v>
      </c>
      <c r="H27" s="14">
        <f t="shared" si="6"/>
        <v>8.6178461538461537</v>
      </c>
      <c r="I27" s="16">
        <f t="shared" si="7"/>
        <v>0.12800427350427351</v>
      </c>
      <c r="J27" s="15">
        <f t="shared" si="8"/>
        <v>10535.942930309127</v>
      </c>
      <c r="K27" s="15">
        <f t="shared" si="9"/>
        <v>8779.9524419242734</v>
      </c>
      <c r="L27" s="15">
        <f t="shared" si="10"/>
        <v>1755.9904883848549</v>
      </c>
      <c r="M27" s="15">
        <f t="shared" si="11"/>
        <v>11059.569230769232</v>
      </c>
      <c r="N27" s="15">
        <f t="shared" si="12"/>
        <v>46609.196099674984</v>
      </c>
      <c r="O27" s="15">
        <f t="shared" si="14"/>
        <v>284.73958333333326</v>
      </c>
      <c r="P27" s="17">
        <f t="shared" si="13"/>
        <v>0.53945828819068264</v>
      </c>
      <c r="Q27" s="14">
        <f t="shared" si="15"/>
        <v>0.36633663366336638</v>
      </c>
      <c r="R27" s="15">
        <f t="shared" si="16"/>
        <v>31.901983418561635</v>
      </c>
      <c r="S27" s="15">
        <f t="shared" si="17"/>
        <v>22.466185506029323</v>
      </c>
      <c r="T27" s="15">
        <f t="shared" si="18"/>
        <v>262.7492945496831</v>
      </c>
      <c r="U27" s="15">
        <f t="shared" si="19"/>
        <v>547.48887788301636</v>
      </c>
      <c r="V27" s="37">
        <f t="shared" si="20"/>
        <v>25518.01647164052</v>
      </c>
    </row>
    <row r="28" spans="1:22">
      <c r="A28" s="13">
        <v>21</v>
      </c>
      <c r="B28" s="14">
        <f t="shared" si="0"/>
        <v>0.62538133007931651</v>
      </c>
      <c r="C28" s="15">
        <f t="shared" si="1"/>
        <v>1634.92432923109</v>
      </c>
      <c r="D28" s="15">
        <f t="shared" si="2"/>
        <v>343.33410913852902</v>
      </c>
      <c r="E28" s="15">
        <f t="shared" si="3"/>
        <v>1978.2584383696189</v>
      </c>
      <c r="F28" s="16">
        <f t="shared" si="4"/>
        <v>0.37775609756097561</v>
      </c>
      <c r="G28" s="15">
        <f t="shared" si="5"/>
        <v>5731.7749522178092</v>
      </c>
      <c r="H28" s="14">
        <f t="shared" si="6"/>
        <v>8.4782504501555085</v>
      </c>
      <c r="I28" s="16">
        <f t="shared" si="7"/>
        <v>0.12930986324201255</v>
      </c>
      <c r="J28" s="15">
        <f t="shared" si="8"/>
        <v>10773.654154465836</v>
      </c>
      <c r="K28" s="15">
        <f t="shared" si="9"/>
        <v>8903.8464086494514</v>
      </c>
      <c r="L28" s="15">
        <f t="shared" si="10"/>
        <v>1869.8077458163855</v>
      </c>
      <c r="M28" s="15">
        <f t="shared" si="11"/>
        <v>11172.372184109883</v>
      </c>
      <c r="N28" s="15">
        <f t="shared" si="12"/>
        <v>48146.909598629602</v>
      </c>
      <c r="O28" s="15">
        <f t="shared" si="14"/>
        <v>278.45705430932702</v>
      </c>
      <c r="P28" s="17">
        <f t="shared" si="13"/>
        <v>0.55725589813228704</v>
      </c>
      <c r="Q28" s="14">
        <f t="shared" si="15"/>
        <v>0.35403726708074529</v>
      </c>
      <c r="R28" s="15">
        <f t="shared" si="16"/>
        <v>33.245559768281332</v>
      </c>
      <c r="S28" s="15">
        <f t="shared" si="17"/>
        <v>23.412366034000939</v>
      </c>
      <c r="T28" s="15">
        <f t="shared" si="18"/>
        <v>255.60329753282818</v>
      </c>
      <c r="U28" s="15">
        <f t="shared" si="19"/>
        <v>534.06035184215523</v>
      </c>
      <c r="V28" s="37">
        <f t="shared" si="20"/>
        <v>25713.355480356568</v>
      </c>
    </row>
    <row r="29" spans="1:22">
      <c r="A29" s="13">
        <v>22</v>
      </c>
      <c r="B29" s="14">
        <f t="shared" si="0"/>
        <v>0.61117578579743881</v>
      </c>
      <c r="C29" s="15">
        <f t="shared" si="1"/>
        <v>1672.0926880647487</v>
      </c>
      <c r="D29" s="15">
        <f t="shared" si="2"/>
        <v>367.86039137424473</v>
      </c>
      <c r="E29" s="15">
        <f t="shared" si="3"/>
        <v>2039.9530794389934</v>
      </c>
      <c r="F29" s="16">
        <f t="shared" si="4"/>
        <v>0.37180952380952381</v>
      </c>
      <c r="G29" s="15">
        <f t="shared" si="5"/>
        <v>5641.867671687869</v>
      </c>
      <c r="H29" s="14">
        <f t="shared" si="6"/>
        <v>8.3452625977049717</v>
      </c>
      <c r="I29" s="16">
        <f t="shared" si="7"/>
        <v>0.1305530701997524</v>
      </c>
      <c r="J29" s="15">
        <f t="shared" si="8"/>
        <v>11003.852099864194</v>
      </c>
      <c r="K29" s="15">
        <f t="shared" si="9"/>
        <v>9019.5509015280277</v>
      </c>
      <c r="L29" s="15">
        <f t="shared" si="10"/>
        <v>1984.3011983361662</v>
      </c>
      <c r="M29" s="15">
        <f t="shared" si="11"/>
        <v>11279.785265258608</v>
      </c>
      <c r="N29" s="15">
        <f t="shared" si="12"/>
        <v>49648.435510853247</v>
      </c>
      <c r="O29" s="15">
        <f t="shared" si="14"/>
        <v>272.6317995529061</v>
      </c>
      <c r="P29" s="17">
        <f t="shared" si="13"/>
        <v>0.57463467026450521</v>
      </c>
      <c r="Q29" s="14">
        <f t="shared" si="15"/>
        <v>0.34310850439882701</v>
      </c>
      <c r="R29" s="15">
        <f t="shared" si="16"/>
        <v>34.527417811734189</v>
      </c>
      <c r="S29" s="15">
        <f t="shared" si="17"/>
        <v>24.315082966009992</v>
      </c>
      <c r="T29" s="15">
        <f t="shared" si="18"/>
        <v>249.01759581878201</v>
      </c>
      <c r="U29" s="15">
        <f t="shared" si="19"/>
        <v>521.64939537168812</v>
      </c>
      <c r="V29" s="37">
        <f t="shared" si="20"/>
        <v>25899.076365386849</v>
      </c>
    </row>
    <row r="30" spans="1:22">
      <c r="A30" s="13">
        <v>23</v>
      </c>
      <c r="B30" s="14">
        <f t="shared" si="0"/>
        <v>0.59821925431274359</v>
      </c>
      <c r="C30" s="15">
        <f t="shared" si="1"/>
        <v>1707.532191896054</v>
      </c>
      <c r="D30" s="15">
        <f t="shared" si="2"/>
        <v>392.73240413609244</v>
      </c>
      <c r="E30" s="15">
        <f t="shared" si="3"/>
        <v>2100.2645960321465</v>
      </c>
      <c r="F30" s="16">
        <f t="shared" si="4"/>
        <v>0.36613953488372086</v>
      </c>
      <c r="G30" s="15">
        <f t="shared" si="5"/>
        <v>5556.1194457188449</v>
      </c>
      <c r="H30" s="14">
        <f t="shared" si="6"/>
        <v>8.2184266801257895</v>
      </c>
      <c r="I30" s="16">
        <f t="shared" si="7"/>
        <v>0.13173827395357465</v>
      </c>
      <c r="J30" s="15">
        <f t="shared" si="8"/>
        <v>11227.257882487174</v>
      </c>
      <c r="K30" s="15">
        <f t="shared" si="9"/>
        <v>9127.8519369814421</v>
      </c>
      <c r="L30" s="15">
        <f t="shared" si="10"/>
        <v>2099.4059455057318</v>
      </c>
      <c r="M30" s="15">
        <f t="shared" si="11"/>
        <v>11382.18686958885</v>
      </c>
      <c r="N30" s="15">
        <f t="shared" si="12"/>
        <v>51116.298900613365</v>
      </c>
      <c r="O30" s="15">
        <f t="shared" si="14"/>
        <v>267.20683103570173</v>
      </c>
      <c r="P30" s="17">
        <f t="shared" si="13"/>
        <v>0.59162382986821027</v>
      </c>
      <c r="Q30" s="14">
        <f t="shared" si="15"/>
        <v>0.33333333333333331</v>
      </c>
      <c r="R30" s="15">
        <f t="shared" si="16"/>
        <v>35.751683353120157</v>
      </c>
      <c r="S30" s="15">
        <f t="shared" si="17"/>
        <v>25.177241797971941</v>
      </c>
      <c r="T30" s="15">
        <f t="shared" si="18"/>
        <v>242.92202153267974</v>
      </c>
      <c r="U30" s="15">
        <f t="shared" si="19"/>
        <v>510.12885256838149</v>
      </c>
      <c r="V30" s="37">
        <f t="shared" si="20"/>
        <v>26075.898905712318</v>
      </c>
    </row>
    <row r="31" spans="1:22">
      <c r="A31" s="13">
        <v>24</v>
      </c>
      <c r="B31" s="14">
        <f t="shared" si="0"/>
        <v>0.58635394456289991</v>
      </c>
      <c r="C31" s="15">
        <f t="shared" si="1"/>
        <v>1741.3607288234152</v>
      </c>
      <c r="D31" s="15">
        <f t="shared" si="2"/>
        <v>417.9265749176198</v>
      </c>
      <c r="E31" s="15">
        <f t="shared" si="3"/>
        <v>2159.287303741035</v>
      </c>
      <c r="F31" s="16">
        <f t="shared" si="4"/>
        <v>0.36072727272727267</v>
      </c>
      <c r="G31" s="15">
        <f t="shared" si="5"/>
        <v>5474.2495024420605</v>
      </c>
      <c r="H31" s="14">
        <f t="shared" si="6"/>
        <v>8.0973273890288802</v>
      </c>
      <c r="I31" s="16">
        <f t="shared" si="7"/>
        <v>0.13286945144407833</v>
      </c>
      <c r="J31" s="15">
        <f t="shared" si="8"/>
        <v>11444.503196654327</v>
      </c>
      <c r="K31" s="15">
        <f t="shared" si="9"/>
        <v>9229.4380618180057</v>
      </c>
      <c r="L31" s="15">
        <f t="shared" si="10"/>
        <v>2215.0651348363222</v>
      </c>
      <c r="M31" s="15">
        <f t="shared" si="11"/>
        <v>11479.920604768367</v>
      </c>
      <c r="N31" s="15">
        <f t="shared" si="12"/>
        <v>52552.795223443783</v>
      </c>
      <c r="O31" s="15">
        <f t="shared" si="14"/>
        <v>262.13457661290323</v>
      </c>
      <c r="P31" s="17">
        <f t="shared" si="13"/>
        <v>0.60824994471578453</v>
      </c>
      <c r="Q31" s="14">
        <f t="shared" si="15"/>
        <v>0.32453825857519786</v>
      </c>
      <c r="R31" s="15">
        <f t="shared" si="16"/>
        <v>36.922126319724455</v>
      </c>
      <c r="S31" s="15">
        <f t="shared" si="17"/>
        <v>26.001497408256661</v>
      </c>
      <c r="T31" s="15">
        <f t="shared" si="18"/>
        <v>237.25784974445287</v>
      </c>
      <c r="U31" s="15">
        <f t="shared" si="19"/>
        <v>499.3924263573561</v>
      </c>
      <c r="V31" s="37">
        <f t="shared" si="20"/>
        <v>26244.467918496866</v>
      </c>
    </row>
    <row r="32" spans="1:22">
      <c r="A32" s="13">
        <v>25</v>
      </c>
      <c r="B32" s="14">
        <f t="shared" si="0"/>
        <v>0.57544757033248084</v>
      </c>
      <c r="C32" s="15">
        <f t="shared" si="1"/>
        <v>1773.6857061665246</v>
      </c>
      <c r="D32" s="15">
        <f t="shared" si="2"/>
        <v>443.42142654163126</v>
      </c>
      <c r="E32" s="15">
        <f t="shared" si="3"/>
        <v>2217.1071327081559</v>
      </c>
      <c r="F32" s="16">
        <f t="shared" si="4"/>
        <v>0.35555555555555557</v>
      </c>
      <c r="G32" s="15">
        <f t="shared" si="5"/>
        <v>5396.0015849573147</v>
      </c>
      <c r="H32" s="14">
        <f t="shared" si="6"/>
        <v>7.9815856777493615</v>
      </c>
      <c r="I32" s="16">
        <f t="shared" si="7"/>
        <v>0.13395022260111775</v>
      </c>
      <c r="J32" s="15">
        <f t="shared" si="8"/>
        <v>11656.143759106364</v>
      </c>
      <c r="K32" s="15">
        <f t="shared" si="9"/>
        <v>9324.9150072850898</v>
      </c>
      <c r="L32" s="15">
        <f t="shared" si="10"/>
        <v>2331.2287518212729</v>
      </c>
      <c r="M32" s="15">
        <f t="shared" si="11"/>
        <v>11573.299232736574</v>
      </c>
      <c r="N32" s="15">
        <f t="shared" si="12"/>
        <v>53960.015849573145</v>
      </c>
      <c r="O32" s="15">
        <f t="shared" si="14"/>
        <v>257.37499999999994</v>
      </c>
      <c r="P32" s="17">
        <f t="shared" si="13"/>
        <v>0.62453722048117066</v>
      </c>
      <c r="Q32" s="14">
        <f t="shared" si="15"/>
        <v>0.31658291457286436</v>
      </c>
      <c r="R32" s="15">
        <f t="shared" si="16"/>
        <v>38.042197689213324</v>
      </c>
      <c r="S32" s="15">
        <f t="shared" si="17"/>
        <v>26.790280062826287</v>
      </c>
      <c r="T32" s="15">
        <f t="shared" si="18"/>
        <v>231.97555691151214</v>
      </c>
      <c r="U32" s="15">
        <f t="shared" si="19"/>
        <v>489.35055691151206</v>
      </c>
      <c r="V32" s="37">
        <f t="shared" si="20"/>
        <v>26405.363806942634</v>
      </c>
    </row>
    <row r="33" spans="2:10" ht="18.75">
      <c r="B33" s="6"/>
      <c r="C33" s="4" t="s">
        <v>21</v>
      </c>
      <c r="D33" s="4"/>
    </row>
    <row r="35" spans="2:10" ht="20.25">
      <c r="B35" s="7" t="s">
        <v>22</v>
      </c>
    </row>
    <row r="36" spans="2:10" ht="18.75">
      <c r="B36" s="7" t="s">
        <v>20</v>
      </c>
      <c r="C36" s="7"/>
      <c r="D36" s="7"/>
      <c r="E36" s="7"/>
      <c r="F36" s="7"/>
      <c r="G36" s="7"/>
      <c r="H36" s="7"/>
      <c r="I36" s="8"/>
      <c r="J36" s="8"/>
    </row>
    <row r="37" spans="2:10" ht="21">
      <c r="B37" s="7" t="s">
        <v>26</v>
      </c>
      <c r="C37" s="7"/>
      <c r="D37" s="7"/>
      <c r="E37" s="7"/>
      <c r="F37" s="7"/>
      <c r="G37" s="7"/>
      <c r="H37" s="7"/>
      <c r="I37" s="8"/>
      <c r="J37" s="8"/>
    </row>
    <row r="38" spans="2:10" ht="20.25">
      <c r="B38" s="7" t="s">
        <v>27</v>
      </c>
      <c r="C38" s="7"/>
      <c r="D38" s="7"/>
      <c r="E38" s="7"/>
      <c r="F38" s="7"/>
      <c r="G38" s="7"/>
      <c r="H38" s="7"/>
      <c r="I38" s="8"/>
      <c r="J38" s="8"/>
    </row>
    <row r="39" spans="2:10" ht="18.75">
      <c r="B39" s="7" t="s">
        <v>28</v>
      </c>
      <c r="C39" s="7"/>
      <c r="D39" s="7"/>
      <c r="E39" s="7"/>
      <c r="F39" s="7"/>
      <c r="G39" s="7"/>
      <c r="H39" s="7"/>
      <c r="I39" s="8"/>
      <c r="J39" s="8"/>
    </row>
    <row r="40" spans="2:10" ht="18.75">
      <c r="C40" s="7"/>
      <c r="D40" s="7"/>
      <c r="E40" s="7"/>
      <c r="F40" s="7"/>
      <c r="G40" s="5"/>
      <c r="H40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"/>
  <sheetViews>
    <sheetView workbookViewId="0">
      <selection activeCell="V34" sqref="V34"/>
    </sheetView>
  </sheetViews>
  <sheetFormatPr defaultRowHeight="15"/>
  <cols>
    <col min="10" max="10" width="8.85546875" customWidth="1"/>
  </cols>
  <sheetData>
    <row r="4" spans="2:2">
      <c r="B4" t="s">
        <v>35</v>
      </c>
    </row>
  </sheetData>
  <printOptions horizontalCentered="1" verticalCentered="1"/>
  <pageMargins left="0.24" right="0.15" top="0.35" bottom="0.36" header="0.3" footer="0.3"/>
  <pageSetup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Calculation</vt:lpstr>
      <vt:lpstr>Graphs</vt:lpstr>
      <vt:lpstr>Sheet3</vt:lpstr>
      <vt:lpstr>Calculation!Print_Area</vt:lpstr>
      <vt:lpstr>Graphs!Print_Area</vt:lpstr>
      <vt:lpstr>Calculation!Print_Titles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silverstein</dc:creator>
  <cp:lastModifiedBy>silverstein</cp:lastModifiedBy>
  <cp:lastPrinted>2010-10-13T00:36:00Z</cp:lastPrinted>
  <dcterms:created xsi:type="dcterms:W3CDTF">2010-10-12T01:05:17Z</dcterms:created>
  <dcterms:modified xsi:type="dcterms:W3CDTF">2010-10-13T01:01:20Z</dcterms:modified>
</cp:coreProperties>
</file>